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2" yWindow="492" windowWidth="9780" windowHeight="8136" tabRatio="924" activeTab="2"/>
  </bookViews>
  <sheets>
    <sheet name="PL08-B03" sheetId="1" r:id="rId1"/>
    <sheet name="PL08_B02" sheetId="2" r:id="rId2"/>
    <sheet name="HDND" sheetId="3" r:id="rId3"/>
    <sheet name="Sac Thue" sheetId="4" r:id="rId4"/>
    <sheet name="CD 2" sheetId="5" r:id="rId5"/>
    <sheet name="Can doi" sheetId="6" r:id="rId6"/>
    <sheet name="PL6.35" sheetId="7" r:id="rId7"/>
    <sheet name="PL6.41" sheetId="8" r:id="rId8"/>
    <sheet name="PL6.51" sheetId="9" r:id="rId9"/>
    <sheet name="chi tiết thu chi" sheetId="10" r:id="rId10"/>
    <sheet name="chi tiết thu chi (chuyen giao)" sheetId="11" r:id="rId11"/>
    <sheet name="dong gop" sheetId="12" r:id="rId12"/>
    <sheet name="ctmt" sheetId="13" r:id="rId13"/>
    <sheet name="thu toan tinh" sheetId="14" r:id="rId14"/>
    <sheet name="PL8.07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5">'Can doi'!$A$1:$J$22</definedName>
    <definedName name="_xlnm.Print_Area" localSheetId="12">'ctmt'!$A$1:$P$31</definedName>
    <definedName name="_xlnm.Print_Area" localSheetId="2">'HDND'!$A$1:$I$80</definedName>
    <definedName name="_xlnm.Print_Area" localSheetId="1">'PL08_B02'!$A$1:$K$127</definedName>
    <definedName name="_xlnm.Print_Area" localSheetId="0">'PL08-B03'!$A$1:$J$79</definedName>
    <definedName name="_xlnm.Print_Area" localSheetId="6">'PL6.35'!$A$1:$I$40</definedName>
    <definedName name="_xlnm.Print_Area" localSheetId="7">'PL6.41'!$A$1:$K$27</definedName>
    <definedName name="_xlnm.Print_Area" localSheetId="8">'PL6.51'!$A$1:$O$33</definedName>
    <definedName name="_xlnm.Print_Area" localSheetId="3">'Sac Thue'!$A$1:$P$56</definedName>
    <definedName name="_xlnm.Print_Titles" localSheetId="5">'Can doi'!$4:$4</definedName>
    <definedName name="_xlnm.Print_Titles" localSheetId="2">'HDND'!$7:$8</definedName>
    <definedName name="_xlnm.Print_Titles" localSheetId="1">'PL08_B02'!$10:$12</definedName>
    <definedName name="_xlnm.Print_Titles" localSheetId="0">'PL08-B03'!$10:$12</definedName>
    <definedName name="_xlnm.Print_Titles" localSheetId="3">'Sac Thue'!$7:$10</definedName>
  </definedNames>
  <calcPr fullCalcOnLoad="1"/>
</workbook>
</file>

<file path=xl/sharedStrings.xml><?xml version="1.0" encoding="utf-8"?>
<sst xmlns="http://schemas.openxmlformats.org/spreadsheetml/2006/main" count="1404" uniqueCount="752">
  <si>
    <t>Nội dung</t>
  </si>
  <si>
    <t>TW giao</t>
  </si>
  <si>
    <t>HĐND quyết định</t>
  </si>
  <si>
    <t>Phân chia theo từng cấp ngân sách</t>
  </si>
  <si>
    <t>Thu NSTW</t>
  </si>
  <si>
    <t>Thu NS cấp tỉnh</t>
  </si>
  <si>
    <t>Thu NS cấp huyện</t>
  </si>
  <si>
    <t>Thu NS xã</t>
  </si>
  <si>
    <t>So sánh QT/DT(%)</t>
  </si>
  <si>
    <t>Dự toán năm</t>
  </si>
  <si>
    <t>Quyết toán năm</t>
  </si>
  <si>
    <t>Biểu 01/TC</t>
  </si>
  <si>
    <t>STT</t>
  </si>
  <si>
    <t>A</t>
  </si>
  <si>
    <t>B</t>
  </si>
  <si>
    <t>3=4+5+6+7</t>
  </si>
  <si>
    <t/>
  </si>
  <si>
    <t>Thu cân đối ngân sách Nhà nước</t>
  </si>
  <si>
    <t>I</t>
  </si>
  <si>
    <t>Thu nội địa</t>
  </si>
  <si>
    <t>1</t>
  </si>
  <si>
    <t>Thu từ kinh tế quốc doanh</t>
  </si>
  <si>
    <t>1.1</t>
  </si>
  <si>
    <t>1.1.1</t>
  </si>
  <si>
    <t>Thuế GTGT hàng SX-KD trong nước</t>
  </si>
  <si>
    <t>1.1.2</t>
  </si>
  <si>
    <t>Thuế TTĐB hàng SX trong nước</t>
  </si>
  <si>
    <t>1.1.3</t>
  </si>
  <si>
    <t>Thuế thu nhập doanh nghiệp</t>
  </si>
  <si>
    <t>1.1.4</t>
  </si>
  <si>
    <t>Thu từ thu nhập sau thuế</t>
  </si>
  <si>
    <t>1.1.5</t>
  </si>
  <si>
    <t>Thuế tài nguyên</t>
  </si>
  <si>
    <t>1.1.6</t>
  </si>
  <si>
    <t>Thuế môn bài</t>
  </si>
  <si>
    <t>1.1.7</t>
  </si>
  <si>
    <t>Thu khác</t>
  </si>
  <si>
    <t>1.2</t>
  </si>
  <si>
    <t>Thu từ DNNN địa phương</t>
  </si>
  <si>
    <t>1.2.1</t>
  </si>
  <si>
    <t>1.2.2</t>
  </si>
  <si>
    <t>1.2.3</t>
  </si>
  <si>
    <t>1.2.4</t>
  </si>
  <si>
    <t>1.2.5</t>
  </si>
  <si>
    <t>1.2.6</t>
  </si>
  <si>
    <t>1.3</t>
  </si>
  <si>
    <t>Thu chênh lệch thu chi NHNN</t>
  </si>
  <si>
    <t>2</t>
  </si>
  <si>
    <t>Thu từ DN đầu tư nước ngoài</t>
  </si>
  <si>
    <t>2.1</t>
  </si>
  <si>
    <t>2.2</t>
  </si>
  <si>
    <t>2.3</t>
  </si>
  <si>
    <t>2.4</t>
  </si>
  <si>
    <t>2.5</t>
  </si>
  <si>
    <t>2.6</t>
  </si>
  <si>
    <t>Thu tiền thuê mặt đất, mặt nước, mặt biển</t>
  </si>
  <si>
    <t>2.7</t>
  </si>
  <si>
    <t>3</t>
  </si>
  <si>
    <t>Thu từ KV công thương nghiệp - ngoài QD</t>
  </si>
  <si>
    <t>3.1</t>
  </si>
  <si>
    <t>Thu từ DN dân doanh (1)</t>
  </si>
  <si>
    <t>3.1.1</t>
  </si>
  <si>
    <t>3.1.2</t>
  </si>
  <si>
    <t>3.1.3</t>
  </si>
  <si>
    <t>3.1.4</t>
  </si>
  <si>
    <t>3.1.5</t>
  </si>
  <si>
    <t>3.1.6</t>
  </si>
  <si>
    <t>3.2</t>
  </si>
  <si>
    <t>Thu từ cá nhân SX, KD HH, DV (2)</t>
  </si>
  <si>
    <t>3.2.1</t>
  </si>
  <si>
    <t>3.2.2</t>
  </si>
  <si>
    <t>3.2.3</t>
  </si>
  <si>
    <t>3.2.4</t>
  </si>
  <si>
    <t>3.2.5</t>
  </si>
  <si>
    <t>3.2.6</t>
  </si>
  <si>
    <t>4</t>
  </si>
  <si>
    <t>5</t>
  </si>
  <si>
    <t>Thuế thu nhập cá nhân</t>
  </si>
  <si>
    <t>6</t>
  </si>
  <si>
    <t>Lệ phí trước bạ</t>
  </si>
  <si>
    <t>7</t>
  </si>
  <si>
    <t>8</t>
  </si>
  <si>
    <t>Thu phí, lệ phí</t>
  </si>
  <si>
    <t>Thu phí, lệ phí trung ương</t>
  </si>
  <si>
    <t>Thu phí, lệ phí, tỉnh huyện</t>
  </si>
  <si>
    <t>Thu phí, lệ phí, xã</t>
  </si>
  <si>
    <t>9</t>
  </si>
  <si>
    <t>9.1</t>
  </si>
  <si>
    <t>9.2</t>
  </si>
  <si>
    <t>9.3</t>
  </si>
  <si>
    <t>Thu tiền thuê mặt đất, mặt nước</t>
  </si>
  <si>
    <t>Thu tiền sử dụng đất</t>
  </si>
  <si>
    <t>Thu tiền bán, thuê nhà ở thuộc SHNN</t>
  </si>
  <si>
    <t>10</t>
  </si>
  <si>
    <t>Thu tại xã</t>
  </si>
  <si>
    <t>Thu hoa lợi từ quỹ đất công ích, đất công</t>
  </si>
  <si>
    <t>Thu tiền cho thuê quầy bán hàng</t>
  </si>
  <si>
    <t>Thu sự nghiệp do xã quản lý</t>
  </si>
  <si>
    <t>Thu hồi các khoản chi năm trước (xã)</t>
  </si>
  <si>
    <t>Thu phạt, tịch thu (xã)</t>
  </si>
  <si>
    <t>Thu khác tại xã</t>
  </si>
  <si>
    <t>Thu khác ngân sách</t>
  </si>
  <si>
    <t>Thu từ quỹ đất công ích, đất công</t>
  </si>
  <si>
    <t>Thu chênh lệch tỷ giá ngoại tệ</t>
  </si>
  <si>
    <t>Thu tiền phạt (không kể ATGT phạt tại xã)</t>
  </si>
  <si>
    <t>Thu tịch thu (không kể tịch thu tại xã)</t>
  </si>
  <si>
    <t>Thu tiền bán hàng hóa vật tư dữ trữ</t>
  </si>
  <si>
    <t>Thu bán tài sản</t>
  </si>
  <si>
    <t>Thu thanh lý nhà làm việc</t>
  </si>
  <si>
    <t>Thu hồi các khoản chi năm trước</t>
  </si>
  <si>
    <t>Thu khác còn lại (không kể thu khác tại xã)</t>
  </si>
  <si>
    <t>II</t>
  </si>
  <si>
    <t>Thu hải quan</t>
  </si>
  <si>
    <t>Thuế xuất khẩu</t>
  </si>
  <si>
    <t>Thuế nhập khẩu</t>
  </si>
  <si>
    <t>Thuế TTĐB hàng nhập khẩu</t>
  </si>
  <si>
    <t>Thuế GTGT hàng nhập khẩu</t>
  </si>
  <si>
    <t>III</t>
  </si>
  <si>
    <t>Thu từ quỹ dự trữ tài chính</t>
  </si>
  <si>
    <t>IV</t>
  </si>
  <si>
    <t>Thu kết dư ngân sách năm trước</t>
  </si>
  <si>
    <t>V</t>
  </si>
  <si>
    <t>Thu chuyển nguồn</t>
  </si>
  <si>
    <t>VI</t>
  </si>
  <si>
    <t>Thu huy động ĐT theo K3Đ8 Luật NSNN</t>
  </si>
  <si>
    <t>Các khoản thu để lại ĐV chi QL qua NSNN</t>
  </si>
  <si>
    <t>Thu học phí</t>
  </si>
  <si>
    <t>Thu viện trợ</t>
  </si>
  <si>
    <t>Thuế GTGT</t>
  </si>
  <si>
    <t>Thuế thu nhập DN</t>
  </si>
  <si>
    <t>Thuế tiêu thu đặc biệt</t>
  </si>
  <si>
    <t>Các khoản huy động đóng góp XD</t>
  </si>
  <si>
    <t>Các khoản huy động đóng góp khác</t>
  </si>
  <si>
    <t>C</t>
  </si>
  <si>
    <t>Thu bổ sung từ ngân sách cấp trên</t>
  </si>
  <si>
    <t>Bổ sung cân đối</t>
  </si>
  <si>
    <t>Bổ sung có mục tiêu</t>
  </si>
  <si>
    <t>Bổ sung có mục tiêu bằng NV trong nước</t>
  </si>
  <si>
    <t>Bổ sung có mục tiêu bằng NV ngoài nước</t>
  </si>
  <si>
    <t>D</t>
  </si>
  <si>
    <t>Thu từ ngân sách cấp dưới nộp lên</t>
  </si>
  <si>
    <t>E</t>
  </si>
  <si>
    <t>Thu tín phiếu, trái phiếu của NSTW</t>
  </si>
  <si>
    <t>Đơn vị:  đồng</t>
  </si>
  <si>
    <t>So sánh QT/DT (%)</t>
  </si>
  <si>
    <t>Tổng số</t>
  </si>
  <si>
    <t>Khu vực DNNN</t>
  </si>
  <si>
    <t>Khu vực ĐTNN</t>
  </si>
  <si>
    <t>Khu vực CTNNQD</t>
  </si>
  <si>
    <t>Các khoản thu khác</t>
  </si>
  <si>
    <t>A - Thu NSNN trên địa bàn</t>
  </si>
  <si>
    <t>I. Các khoản thu từ thuế</t>
  </si>
  <si>
    <t>1. Thuế GTGT</t>
  </si>
  <si>
    <t>a - Thuế GTGT hàng sản xuất trong nước</t>
  </si>
  <si>
    <t>b - Thuế GTGT hàng nhập khẩu</t>
  </si>
  <si>
    <t>2. Thuế TTĐB hàng sản xuất trong nước</t>
  </si>
  <si>
    <t>3. Thuế xuất khẩu</t>
  </si>
  <si>
    <t>4. Thuế nhập khẩu</t>
  </si>
  <si>
    <t>5. Thuế TTĐB hàng nhập khẩu</t>
  </si>
  <si>
    <t>7. Thuế thu nhập doanh nghiệp</t>
  </si>
  <si>
    <t>8. Thuế chuyển thu nhập ra nước ngoài</t>
  </si>
  <si>
    <t>9. Thuế tài nguyên</t>
  </si>
  <si>
    <t>10. Thuế thu nhập đ/v người có TN cao</t>
  </si>
  <si>
    <t>11. Thuê sử dụng đất nông nghiệp</t>
  </si>
  <si>
    <t>12. Thuế nhà đất</t>
  </si>
  <si>
    <t>13. Thuế chuyển quyền sử dụng đất</t>
  </si>
  <si>
    <t>14. Thuế môn bài</t>
  </si>
  <si>
    <t xml:space="preserve">II. Các khoản phí, lệ phí </t>
  </si>
  <si>
    <t>15. Lệ phí trước bạ</t>
  </si>
  <si>
    <t>16. Phí xăng dầu</t>
  </si>
  <si>
    <t>17. Học phí</t>
  </si>
  <si>
    <t>18. Viện phí</t>
  </si>
  <si>
    <t>III. Các khoản thu khác còn lại</t>
  </si>
  <si>
    <t>21. Thu tiền thuê đất, mặt đất mặt nước</t>
  </si>
  <si>
    <t>22. Thu giao quyền sử dụng đất</t>
  </si>
  <si>
    <t>23. Thu bán nhà ở</t>
  </si>
  <si>
    <t>24. Thu quỹ đất công ích, hoa lợi của xã</t>
  </si>
  <si>
    <t>25. Thu khác</t>
  </si>
  <si>
    <t>27. Thu đóng góp</t>
  </si>
  <si>
    <t>28. Thu phạt, tịch thu</t>
  </si>
  <si>
    <t>29. Thu CL giá hàng nhập khẩu</t>
  </si>
  <si>
    <t>30. Thu từ xổ số kiến thiết</t>
  </si>
  <si>
    <t>IV. Thu viện trợ không hoàn lại</t>
  </si>
  <si>
    <t>V. Thu chuyển nguồn</t>
  </si>
  <si>
    <t>VI. Thu huy động đầu tư theo quy định của K3Đ8</t>
  </si>
  <si>
    <t>B. Thu Kết dư ngân sách</t>
  </si>
  <si>
    <t xml:space="preserve">   GIÁM ĐỐC SỞ TÀI CHÍNH</t>
  </si>
  <si>
    <t>TM. ỦY BAN NHÂN DÂN TỈNH</t>
  </si>
  <si>
    <t>CHỦ TỊCH</t>
  </si>
  <si>
    <t>Thuế bảo vệ môi trường</t>
  </si>
  <si>
    <t>10.1</t>
  </si>
  <si>
    <t>10.2</t>
  </si>
  <si>
    <t>10.3</t>
  </si>
  <si>
    <t>10.4</t>
  </si>
  <si>
    <t>10.5</t>
  </si>
  <si>
    <t>10.6</t>
  </si>
  <si>
    <t>15. Thuế sử dụng đất phi nông nghiệp</t>
  </si>
  <si>
    <t>16. Thuế bảo vệ môi trường</t>
  </si>
  <si>
    <t>Quyết toán thu trên toàn địa bàn</t>
  </si>
  <si>
    <t>Đơn vị tính: Đồng</t>
  </si>
  <si>
    <t>8.1</t>
  </si>
  <si>
    <t>8.2</t>
  </si>
  <si>
    <t>8.3</t>
  </si>
  <si>
    <t>9.4</t>
  </si>
  <si>
    <t>9.5</t>
  </si>
  <si>
    <t>9.6</t>
  </si>
  <si>
    <t>Thuế sử dựng đất phi nông nghiệp</t>
  </si>
  <si>
    <t>Bao gồm</t>
  </si>
  <si>
    <t>GIÁM ĐỐC SỞ TÀI CHÍNH</t>
  </si>
  <si>
    <t>Phần thu</t>
  </si>
  <si>
    <t>Thu NS cấp xã</t>
  </si>
  <si>
    <t>Phần chi</t>
  </si>
  <si>
    <t>Tổng số thu</t>
  </si>
  <si>
    <t>Tổng số chi</t>
  </si>
  <si>
    <t>A. Tổng thu cân đối ngân sách</t>
  </si>
  <si>
    <t>A.Tổng chi cân đối ngân sách</t>
  </si>
  <si>
    <t>1. Các khoản thu NSĐP hưởng 100%</t>
  </si>
  <si>
    <t>1. Chi đầu tư phát triển</t>
  </si>
  <si>
    <t>2. Các khoản phân chia theo tỷ lệ %</t>
  </si>
  <si>
    <t xml:space="preserve"> Trong đó: - Chi đầu tư XDCB</t>
  </si>
  <si>
    <t>3. Thu tiền huy động đầu tư theo Khoản 3 Điều 8 Luật NSNN</t>
  </si>
  <si>
    <t xml:space="preserve"> Trong đó: - Chi từ nguồn vốn huy động</t>
  </si>
  <si>
    <t xml:space="preserve">2. Chi trả nợ gốc, lãi tiền huy động </t>
  </si>
  <si>
    <t>3. Chi thường xuyên</t>
  </si>
  <si>
    <t>4. Chi bổ sung quỹ dự trữ tài chính</t>
  </si>
  <si>
    <t>5. Chi bổ sung cho ngân sách cấp dưới</t>
  </si>
  <si>
    <t xml:space="preserve">  Trong đó: - Bổ sung cân đối ngân sách</t>
  </si>
  <si>
    <t>6. Chi chuyển nguồn sang năm sau</t>
  </si>
  <si>
    <t xml:space="preserve"> Kết dư ngân sách năm quyết toán (thu-chi)</t>
  </si>
  <si>
    <t>B. CÁC KHOẢN THU ĐỂ LẠI ĐƠN VỊ CHI QUẢN LÝ QUA NSNN</t>
  </si>
  <si>
    <t>B. CHI BẰNG NGUỒN THU ĐỂ LẠI ĐƠN VỊ CHI QUẢN LÝ QUA NSNN</t>
  </si>
  <si>
    <t xml:space="preserve">     GIÁM ĐỐC KBNN </t>
  </si>
  <si>
    <t xml:space="preserve">TM.UỶ BAN NHÂN DÂN </t>
  </si>
  <si>
    <t xml:space="preserve">    CHỦ TỊCH</t>
  </si>
  <si>
    <t>Chi NS cấp tỉnh</t>
  </si>
  <si>
    <t>Chi NS cấp huyện</t>
  </si>
  <si>
    <t>Chi NS cấp xã</t>
  </si>
  <si>
    <t>7. Chi nộp ngân sách cấp trên</t>
  </si>
  <si>
    <t>- Bổ sung có mục tiêu</t>
  </si>
  <si>
    <t>- Chi đầu tư và hỗ trợ các doanh nghiệp</t>
  </si>
  <si>
    <t>Chia ra</t>
  </si>
  <si>
    <t>ỦY BAN NHÂN DÂN 
TỈNH QUẢNG BÌNH</t>
  </si>
  <si>
    <t>ĐVT: đồng</t>
  </si>
  <si>
    <t>Quyết toán</t>
  </si>
  <si>
    <t>Chi thường xuyên</t>
  </si>
  <si>
    <t>Chi đầu tư phát triển</t>
  </si>
  <si>
    <t>Bố Trạch</t>
  </si>
  <si>
    <t>Đồng Hới</t>
  </si>
  <si>
    <t>Quảng Ninh</t>
  </si>
  <si>
    <t>Minh Hóa</t>
  </si>
  <si>
    <t>Tuyên Hóa</t>
  </si>
  <si>
    <t>Quảng Trạch</t>
  </si>
  <si>
    <t>Lệ Thủy</t>
  </si>
  <si>
    <t>QT/DT TW</t>
  </si>
  <si>
    <t>4=2/1</t>
  </si>
  <si>
    <t>4=3/1</t>
  </si>
  <si>
    <t>5=3/2</t>
  </si>
  <si>
    <t>So s¸nh (%)</t>
  </si>
  <si>
    <t>Tæng sè</t>
  </si>
  <si>
    <t>Tæng</t>
  </si>
  <si>
    <t>QuyÕt to¸n/Dù to¸n</t>
  </si>
  <si>
    <t>NS cÊp tØnh</t>
  </si>
  <si>
    <t>NS huyÖn</t>
  </si>
  <si>
    <t>Phụ lục số 6 - Biểu số 35</t>
  </si>
  <si>
    <t>(Dùng cho UBND tỉnh, thành phố trực thuộc TW trình HĐND cùng cấp và báo cáo Bộ Tài chính)</t>
  </si>
  <si>
    <t>QT/DT HĐND</t>
  </si>
  <si>
    <t>Dự toán</t>
  </si>
  <si>
    <t>So sánh</t>
  </si>
  <si>
    <t>Tổng thu NSNN trên địa bàn</t>
  </si>
  <si>
    <t>Thu nội địa (không kể thu từ dầu thô)</t>
  </si>
  <si>
    <t>Thu từ dầu thô</t>
  </si>
  <si>
    <t>Thu từ xuất khẩu, nhập khẩu</t>
  </si>
  <si>
    <t>Thu viện trợ không hoàn lại</t>
  </si>
  <si>
    <t>Thu ngân sách địa phương</t>
  </si>
  <si>
    <t>Thu ngân sách địa phương hưởng theo phân cấp</t>
  </si>
  <si>
    <t>- Các khoản thu NSĐP hưởng 100%</t>
  </si>
  <si>
    <t>- Các khoản thu phân chia NSĐP hưởng theo tỷ lệ phần trăm (%)</t>
  </si>
  <si>
    <t>Bổ sung từ ngân sách Trung ương</t>
  </si>
  <si>
    <t>Trong đó: vốn XDCB ngoài nước</t>
  </si>
  <si>
    <t>Thu chuyển nguồn từ ngân sách năm trước</t>
  </si>
  <si>
    <t>Huy động đầu tư theo khoản 3 Điều 8 Luật NSNN</t>
  </si>
  <si>
    <t>Chi ngân sách địa phương</t>
  </si>
  <si>
    <t>Chi trả nợ (cả gốc và lãi) các khoản tiền huy động đầu tư theo khoản 3 Điều 8 Luật NSNN</t>
  </si>
  <si>
    <t>Dự phòng</t>
  </si>
  <si>
    <t>Chi bổ sung quỹ dự trữ tài chính</t>
  </si>
  <si>
    <t>Chi chuyển nguồn ngân sách năm sau</t>
  </si>
  <si>
    <t>TM/UỶ BAN NHÂN DÂN</t>
  </si>
  <si>
    <t>Đơn vị: đồng</t>
  </si>
  <si>
    <t>Phụ lục số 6 - Biểu số 41</t>
  </si>
  <si>
    <t>(Dùng cho UBND tỉnh, thành phố trực thuộc Trung ương trình HĐND cùng cấp và báo cáo Bộ Tài chính)</t>
  </si>
  <si>
    <t>Số TT</t>
  </si>
  <si>
    <t>CÊp tØnh</t>
  </si>
  <si>
    <t>Tổng số chi ngân sách</t>
  </si>
  <si>
    <t>Trong đó</t>
  </si>
  <si>
    <t>Chi Giáo dục - Đào tạo và dạy nghề</t>
  </si>
  <si>
    <t>Chi khoa học và công nghệ</t>
  </si>
  <si>
    <t>Chi trả nợ gốc và lãi các khoản tiền huy động cho đầu tư theo khoản 3 Điều 8 Luật NSNN</t>
  </si>
  <si>
    <t xml:space="preserve">Chi bổ sung quỹ dự trữ tài chính </t>
  </si>
  <si>
    <t xml:space="preserve"> Dự phòng</t>
  </si>
  <si>
    <t>Chi chuyển nguồn ngân sách sang năm sau</t>
  </si>
  <si>
    <t>VII</t>
  </si>
  <si>
    <t>Chi nộp ngân sách cấp trên</t>
  </si>
  <si>
    <t>Chi từ nguồn thu để lại quản lý qua NSNN</t>
  </si>
  <si>
    <t>Chi nộp từ ngân sách cấp trên</t>
  </si>
  <si>
    <t>Các khoản thu để lại chi quản lý chi qua NSNN</t>
  </si>
  <si>
    <t>Thu ngân sách cấp dưới nộp lên</t>
  </si>
  <si>
    <t>QT</t>
  </si>
  <si>
    <t>Thanh</t>
  </si>
  <si>
    <t>DT</t>
  </si>
  <si>
    <t>UỶ BAN NHÂN DÂN</t>
  </si>
  <si>
    <t>TỈNH QUẢNG BÌNH</t>
  </si>
  <si>
    <t>Phụ lục số 8 - Biểu số 01</t>
  </si>
  <si>
    <t>VIII</t>
  </si>
  <si>
    <t>Tổng thu Ngân sách Nhà nước (A+B)</t>
  </si>
  <si>
    <t>Chi vay NHPT</t>
  </si>
  <si>
    <t>IX</t>
  </si>
  <si>
    <t>Phụ lục 08 - Biểu số 03</t>
  </si>
  <si>
    <t>Chi NS xã</t>
  </si>
  <si>
    <t>CHI CÂN ĐỐI NGÂN SÁCH</t>
  </si>
  <si>
    <t>Chi đầu tư XDCB</t>
  </si>
  <si>
    <t>Tr.đó: + Chi GD-ĐT và dạy nghề</t>
  </si>
  <si>
    <t>+ Chi Khoa học và công nghệ</t>
  </si>
  <si>
    <t>Tr.đó: Chương trình 135</t>
  </si>
  <si>
    <t>Khác</t>
  </si>
  <si>
    <t>Chi ĐT từ nguồn huy động ĐT theo K3Đ8 của luật NSNN</t>
  </si>
  <si>
    <t>Chi đầu tư từ nguồn thưởng vượt thu</t>
  </si>
  <si>
    <t>Chi đầu tư từ nguồn vốn khác</t>
  </si>
  <si>
    <t>Đầu tư và hỗ trợ vốn cho DN theo chế độ</t>
  </si>
  <si>
    <t>Chi trả nợ gốc, lãi huy động ĐT K3Đ8 Luật NSNN</t>
  </si>
  <si>
    <t>Chi quốc phòng, an ninh</t>
  </si>
  <si>
    <t>Chi quốc phòng</t>
  </si>
  <si>
    <t>Chi an ninh</t>
  </si>
  <si>
    <t>Chi sự nghiệp giáo dục, đào tạo và dạy nghề</t>
  </si>
  <si>
    <t>Chi sự nghiệp giáo dục</t>
  </si>
  <si>
    <t>Chi sự nghiệp đào tạo và dạy nghề</t>
  </si>
  <si>
    <t>Chi đào tạo lại</t>
  </si>
  <si>
    <t>3.3</t>
  </si>
  <si>
    <t>Chi sự nghiệp y tế</t>
  </si>
  <si>
    <t>3.4</t>
  </si>
  <si>
    <t>Chi sự nghiệp khoa học, công nghệ</t>
  </si>
  <si>
    <t>3.5</t>
  </si>
  <si>
    <t>Chi sự nghiệp văn hóa thông tin</t>
  </si>
  <si>
    <t>3.6</t>
  </si>
  <si>
    <t>Chi sự nghiệp phát thanh, truyền hình, thông tấn</t>
  </si>
  <si>
    <t>3.7</t>
  </si>
  <si>
    <t>Chi sự nghiệp thể dục thể thao</t>
  </si>
  <si>
    <t>3.8</t>
  </si>
  <si>
    <t>Chi sự nghiệp đảm bảo xã hội</t>
  </si>
  <si>
    <t>Tr.đó: Quỹ khám chữa bênh cho người nghèo</t>
  </si>
  <si>
    <t>3.9</t>
  </si>
  <si>
    <t>Chi sự nghiệp kinh tế</t>
  </si>
  <si>
    <t>3.9.1</t>
  </si>
  <si>
    <t>Chi sự nghiệp nông, lâm, thủy lợi</t>
  </si>
  <si>
    <t>3.9.2</t>
  </si>
  <si>
    <t>Chi sự nghiệp thủy sản</t>
  </si>
  <si>
    <t>3.9.3</t>
  </si>
  <si>
    <t>Chi sự nghiệp giao thông</t>
  </si>
  <si>
    <t>3.9.4</t>
  </si>
  <si>
    <t>Chi sự nghiệp kiến thiết địa chính</t>
  </si>
  <si>
    <t>3.9.5</t>
  </si>
  <si>
    <t>Chi sự nghiệp kinh tế khác</t>
  </si>
  <si>
    <t>3.10</t>
  </si>
  <si>
    <t>Chi quản lý hành chính, Đảng, đoàn thể</t>
  </si>
  <si>
    <t>3.10.1</t>
  </si>
  <si>
    <t>Chi quản lý nhà nước</t>
  </si>
  <si>
    <t>3.10.2</t>
  </si>
  <si>
    <t>Chi hoạt động Đảng, tổ chức chính trị</t>
  </si>
  <si>
    <t>3.10.3</t>
  </si>
  <si>
    <t>Chi hỗ trợ hội, đoàn thể</t>
  </si>
  <si>
    <t>3.11</t>
  </si>
  <si>
    <t>Chi trợ giá mặt hàng chính sách</t>
  </si>
  <si>
    <t>3.12</t>
  </si>
  <si>
    <t>Chi sự nghiệp môi trường</t>
  </si>
  <si>
    <t>3.13</t>
  </si>
  <si>
    <t>Chi khác ngân sách</t>
  </si>
  <si>
    <t>3.13.1</t>
  </si>
  <si>
    <t>Chi trả các khoản thu năm trước</t>
  </si>
  <si>
    <t>3.13.2</t>
  </si>
  <si>
    <t>Hỗ trợ các quỹ của địa phương</t>
  </si>
  <si>
    <t>3.13.3</t>
  </si>
  <si>
    <t>Chi khắc phục hậu quả thiên tai cho các ĐV dự toán và cho các DN</t>
  </si>
  <si>
    <t>3.13.4</t>
  </si>
  <si>
    <t>Hỗ trợ khác</t>
  </si>
  <si>
    <t>3.13.5</t>
  </si>
  <si>
    <t>Chi khác còn lại</t>
  </si>
  <si>
    <t>Chi chuyển nguồn</t>
  </si>
  <si>
    <t>Chi từ nguồn dự bị phí</t>
  </si>
  <si>
    <t>Kinh phí làm lương</t>
  </si>
  <si>
    <t>CHI TIỀN VAY</t>
  </si>
  <si>
    <t>CHI TỪ NGUỒN THU ĐỂ LẠI ĐƠN VỊ CHI QL QUA NSNN</t>
  </si>
  <si>
    <t>Chi từ nguồn học phí</t>
  </si>
  <si>
    <t>Chi từ nguồn huy động đóng góp</t>
  </si>
  <si>
    <t>Phí Phong nha</t>
  </si>
  <si>
    <t>Chi từ nguồn thu viện trợ</t>
  </si>
  <si>
    <t>Chi từ nguồn thu xổ số kiến thiết</t>
  </si>
  <si>
    <t>CHI BỔ SUNG CHO NS CẤP DƯỚI</t>
  </si>
  <si>
    <t>Tr.đó:  Bằng nguồn vốn trong nước</t>
  </si>
  <si>
    <t>Bằng nguồn vốn ngoài nước</t>
  </si>
  <si>
    <t>CHI NỘP NGÂN SÁCH CẤP TRÊN</t>
  </si>
  <si>
    <t>Tổng số (I+II+III+IV+V)</t>
  </si>
  <si>
    <t xml:space="preserve">Chi đầu tư XDCB tập trung </t>
  </si>
  <si>
    <t>Phụ lục số 6 - Biểu 45</t>
  </si>
  <si>
    <t xml:space="preserve">QUYẾT TOÁN CHI CHƯƠNG TRÌNH MỤC TIÊU QUỐC GIA, </t>
  </si>
  <si>
    <t>NỘI DUNG CHI</t>
  </si>
  <si>
    <t>CHIA RA</t>
  </si>
  <si>
    <t>CẤP TỈNH THỰC HIỆN</t>
  </si>
  <si>
    <t>HUYỆN THỰC HIỆN</t>
  </si>
  <si>
    <t>Vốn đầu tư</t>
  </si>
  <si>
    <t>Vốn SN</t>
  </si>
  <si>
    <t>1 = 2+5</t>
  </si>
  <si>
    <t>2=3+4</t>
  </si>
  <si>
    <t>5=6+7</t>
  </si>
  <si>
    <t>8=9+12</t>
  </si>
  <si>
    <t>9=10+11</t>
  </si>
  <si>
    <t>12=13+14</t>
  </si>
  <si>
    <t>Chương trình mục tiêu Quốc gia giảm nghèo</t>
  </si>
  <si>
    <t>Chương trình MTQG Nước sạch và VS môi trường nông thôn</t>
  </si>
  <si>
    <t>Chương trình mục tiêu Quốc gia Y tế</t>
  </si>
  <si>
    <t>Chương trình MTQG về dân số KHHGĐ</t>
  </si>
  <si>
    <t>Chương trình mục tiêu quốc gia Vệ sinh an toàn thực phẩm</t>
  </si>
  <si>
    <t>Chương trình mục tiêu quốc gia về văn hóa</t>
  </si>
  <si>
    <t>Chương trình mục tiêu quốc gia Giáo dục và đào tạo</t>
  </si>
  <si>
    <t>Chương trình MTQG phòng, chống ma túy</t>
  </si>
  <si>
    <t>Chương trình MTQG phòng, chống tội phạm</t>
  </si>
  <si>
    <t>Chương trình MTQG XD Nông thôn mới</t>
  </si>
  <si>
    <t>Chương trình MTQG Phòng, chống HIV/AIDS</t>
  </si>
  <si>
    <t>Chương trình MTQG đưa thông tin về CS miền núi, vùng sâu, vùng xa, biên giới và hải đảo</t>
  </si>
  <si>
    <t>Chương trình 135</t>
  </si>
  <si>
    <t>Tổng cộng KPCTMTQG</t>
  </si>
  <si>
    <t>(Dùng cho UBND tỉnh báo cáo Hội đồng nhân dân)</t>
  </si>
  <si>
    <t>§¬n vÞ: TriÖu ®ång</t>
  </si>
  <si>
    <t xml:space="preserve">Tæng thu </t>
  </si>
  <si>
    <t>tæng chi</t>
  </si>
  <si>
    <t>NSNN</t>
  </si>
  <si>
    <t>ns®p</t>
  </si>
  <si>
    <t>nÕu lo¹i trõ</t>
  </si>
  <si>
    <t>vèn ngoµi n­íc</t>
  </si>
  <si>
    <t>trong ®ã</t>
  </si>
  <si>
    <t>vµ b/sung</t>
  </si>
  <si>
    <t>b/sung theo</t>
  </si>
  <si>
    <t>theo sè thu</t>
  </si>
  <si>
    <t>sè thu</t>
  </si>
  <si>
    <t>2=3+9</t>
  </si>
  <si>
    <t>I.</t>
  </si>
  <si>
    <t>II.</t>
  </si>
  <si>
    <t>UBND TỈNH QUẢNG BÌNH</t>
  </si>
  <si>
    <t>SỞ TÀI CHÍNH</t>
  </si>
  <si>
    <r>
      <t xml:space="preserve">UBND </t>
    </r>
    <r>
      <rPr>
        <b/>
        <u val="single"/>
        <sz val="12"/>
        <rFont val="Times New Roman"/>
        <family val="1"/>
      </rPr>
      <t>TỈNH QUẢN</t>
    </r>
    <r>
      <rPr>
        <b/>
        <sz val="12"/>
        <rFont val="Times New Roman"/>
        <family val="1"/>
      </rPr>
      <t>G BÌNH</t>
    </r>
  </si>
  <si>
    <t>Phụ lục số 6- Biểu số 51</t>
  </si>
  <si>
    <t>CL CCTL</t>
  </si>
  <si>
    <t>Đơn vị: triệu đồng</t>
  </si>
  <si>
    <t>Tỉnh bổ sung cho huyện</t>
  </si>
  <si>
    <t xml:space="preserve"> Huyện Minh Hoá</t>
  </si>
  <si>
    <t xml:space="preserve"> Huyện Tuyên Hoá</t>
  </si>
  <si>
    <t xml:space="preserve"> Huyện Quảng Trạch</t>
  </si>
  <si>
    <t xml:space="preserve"> Huyện Bố Trạch</t>
  </si>
  <si>
    <t xml:space="preserve"> Thành phố Đồng Hới</t>
  </si>
  <si>
    <t xml:space="preserve"> Huyện Quảng Ninh</t>
  </si>
  <si>
    <t xml:space="preserve"> Huyện Lệ Thuỷ</t>
  </si>
  <si>
    <t>Huyện bổ sung cho xã</t>
  </si>
  <si>
    <t>Huyện, thành phố thuộc tỉnh</t>
  </si>
  <si>
    <t>Bổ sung mục tiêu</t>
  </si>
  <si>
    <t>Trong đó vốn ngoài nước</t>
  </si>
  <si>
    <t>TM UỶ BAN NHÂN DÂN</t>
  </si>
  <si>
    <t>QUYẾT TOÁN CHI BỔ SUNG TỪ NGÂN SÁCH CẤP TỈNH CHO NGÂN SÁCH TỪNG</t>
  </si>
  <si>
    <t>4. Thu kết dư năm trước</t>
  </si>
  <si>
    <t>5. Thu chuyển nguồn từ năm trước sang</t>
  </si>
  <si>
    <t>6. Thu viện trợ</t>
  </si>
  <si>
    <t>7. Thu B.sung từ ngân sách cấp trên</t>
  </si>
  <si>
    <t>8. Thu ngân sách cấp dưới nộp lên</t>
  </si>
  <si>
    <r>
      <t>ỦY BAN NHÂN DÂN 
TỈ</t>
    </r>
    <r>
      <rPr>
        <b/>
        <u val="double"/>
        <sz val="11"/>
        <color indexed="9"/>
        <rFont val="Times New Roman"/>
        <family val="1"/>
      </rPr>
      <t>NH QUẢNG B</t>
    </r>
    <r>
      <rPr>
        <b/>
        <sz val="11"/>
        <color indexed="9"/>
        <rFont val="Times New Roman"/>
        <family val="1"/>
      </rPr>
      <t>ÌNH</t>
    </r>
  </si>
  <si>
    <t>SỐ TT</t>
  </si>
  <si>
    <t xml:space="preserve"> CHỈ TIÊU</t>
  </si>
  <si>
    <t>TW</t>
  </si>
  <si>
    <t>ĐP</t>
  </si>
  <si>
    <t>TW(%)</t>
  </si>
  <si>
    <t>ĐP(%)</t>
  </si>
  <si>
    <t>Ckỳ(%)</t>
  </si>
  <si>
    <t>PHẦN THU</t>
  </si>
  <si>
    <t>Tổng thu NSNN</t>
  </si>
  <si>
    <t>Trong đó: ĐP được hưởng</t>
  </si>
  <si>
    <t>1.1.8</t>
  </si>
  <si>
    <t>1.1.9</t>
  </si>
  <si>
    <t>1.1.10</t>
  </si>
  <si>
    <t>1.1.11</t>
  </si>
  <si>
    <t>1.1.12</t>
  </si>
  <si>
    <t xml:space="preserve"> - Xã phường</t>
  </si>
  <si>
    <t>1.1.13</t>
  </si>
  <si>
    <t>1.1.14</t>
  </si>
  <si>
    <t>Các khoản thu được để lại chi  QL qua NS</t>
  </si>
  <si>
    <t xml:space="preserve"> II</t>
  </si>
  <si>
    <t>Bổ sung từ NS cấp trên</t>
  </si>
  <si>
    <t xml:space="preserve"> Bổ sung cân đối</t>
  </si>
  <si>
    <t xml:space="preserve"> Bổ sung theo mục tiêu</t>
  </si>
  <si>
    <t xml:space="preserve"> Bổ sung làm lương</t>
  </si>
  <si>
    <t xml:space="preserve"> Bổ sung theo chương trình dự án</t>
  </si>
  <si>
    <t>Thu huy động đầu tư theo quy định của Khoản 3 Điều 8</t>
  </si>
  <si>
    <t>Thu kết dư</t>
  </si>
  <si>
    <t xml:space="preserve"> Thu chuyển nguồn</t>
  </si>
  <si>
    <t xml:space="preserve"> VI</t>
  </si>
  <si>
    <t xml:space="preserve"> Tăng thu làm lương</t>
  </si>
  <si>
    <t xml:space="preserve"> Thu trái phiếu</t>
  </si>
  <si>
    <t xml:space="preserve"> Thu từ NS cấp dưới nộp lên</t>
  </si>
  <si>
    <t xml:space="preserve"> B</t>
  </si>
  <si>
    <t>PHẦN CHI</t>
  </si>
  <si>
    <t>Tổng chi NSĐP</t>
  </si>
  <si>
    <t>Chi theo cân đối ngân sách</t>
  </si>
  <si>
    <t>Chi xây dựng cơ bản</t>
  </si>
  <si>
    <t>Hỗ trợ doanh nghiệp</t>
  </si>
  <si>
    <t>Chi trả nợ vốn và lãi tiền vay</t>
  </si>
  <si>
    <t>Chi trợ giá</t>
  </si>
  <si>
    <t>Chi SN kinh tế</t>
  </si>
  <si>
    <t>Chi SN giáo dục đào tạo</t>
  </si>
  <si>
    <t>Chi SN y tế</t>
  </si>
  <si>
    <t>Chi sự nghiệp văn hoá - TDTT</t>
  </si>
  <si>
    <t>Chị sự nghiệp khoa học</t>
  </si>
  <si>
    <t>Chi SN phát thanh - T. hình</t>
  </si>
  <si>
    <t>Chi đảm bảo XH</t>
  </si>
  <si>
    <t>Chi QL hành chính</t>
  </si>
  <si>
    <t>Chi ANQP địa phương</t>
  </si>
  <si>
    <t>Chi khác</t>
  </si>
  <si>
    <t xml:space="preserve"> Chi hoạt động môi trường</t>
  </si>
  <si>
    <t>Chi từ dự bị phí</t>
  </si>
  <si>
    <t>Chi lập quỹ DTTC</t>
  </si>
  <si>
    <t xml:space="preserve"> Kinh phí làm lương</t>
  </si>
  <si>
    <t>Chi chuyển nguồn sang năm sau</t>
  </si>
  <si>
    <t>Chi từ nguồn thu để lại đơn vị chi  QL qua NSNN</t>
  </si>
  <si>
    <t>Thu tại địa bàn</t>
  </si>
  <si>
    <t>Thu cân đối ngân sách địa phương</t>
  </si>
  <si>
    <t>Thu từ DNNNTW</t>
  </si>
  <si>
    <t>Thu DNNN ĐP</t>
  </si>
  <si>
    <t>Thu từ DN có vốn ĐTNN</t>
  </si>
  <si>
    <t>Thu ngoài QD</t>
  </si>
  <si>
    <t>Thuế SD đất  phi NN</t>
  </si>
  <si>
    <t>Thu thuế trước bạ</t>
  </si>
  <si>
    <t>Thu tiền thuê đất</t>
  </si>
  <si>
    <t>Tiền bán nhà thuộc SHNN</t>
  </si>
  <si>
    <t>Thuế thu nhập ĐV người có thu nhập cao</t>
  </si>
  <si>
    <t>Phí và lệ phí</t>
  </si>
  <si>
    <t>- Trung ương</t>
  </si>
  <si>
    <t>- Tỉnh, huyện</t>
  </si>
  <si>
    <t>Thu tiền cấp đất</t>
  </si>
  <si>
    <t>Thu các khoản huy động đóng góp</t>
  </si>
  <si>
    <t>Thu từ xổ số kiến thiết</t>
  </si>
  <si>
    <t>Thu từ XNK</t>
  </si>
  <si>
    <t>Chi từ nguồn thu XSKT</t>
  </si>
  <si>
    <t>Chi tiền vay</t>
  </si>
  <si>
    <t>Cấp ngân sách</t>
  </si>
  <si>
    <t xml:space="preserve"> Tổng số thu </t>
  </si>
  <si>
    <t xml:space="preserve"> Tổng số chi </t>
  </si>
  <si>
    <t xml:space="preserve"> Kết dư </t>
  </si>
  <si>
    <t>I. Ngân sách tỉnh</t>
  </si>
  <si>
    <t>II. Ngân sách huyện</t>
  </si>
  <si>
    <t>1. Minh Hóa</t>
  </si>
  <si>
    <t>2. Tuyên Hóa</t>
  </si>
  <si>
    <t>3. Quảng Trạch</t>
  </si>
  <si>
    <t>4. Bố Trạch</t>
  </si>
  <si>
    <t>5. Đồng Hới</t>
  </si>
  <si>
    <t>6. Quảng Ninh</t>
  </si>
  <si>
    <t>7. Lệ Thủy</t>
  </si>
  <si>
    <t>III. Ngân sách xã</t>
  </si>
  <si>
    <t>Tổng cộng (I+II+III)</t>
  </si>
  <si>
    <t>Thu từ DNNN Trung ương</t>
  </si>
  <si>
    <t>7.1</t>
  </si>
  <si>
    <t>7.2</t>
  </si>
  <si>
    <t>Phí sử dụng bến bãi qua cửa khẩu Cha Lo</t>
  </si>
  <si>
    <t>7.5</t>
  </si>
  <si>
    <t>Các khoản thu về nhà, đất, khoáng sản</t>
  </si>
  <si>
    <t>Thu cấp quyền khai thác khoáng sản</t>
  </si>
  <si>
    <t>8.4</t>
  </si>
  <si>
    <t>8.5</t>
  </si>
  <si>
    <t>Thu phạt ATGT</t>
  </si>
  <si>
    <t>Thu tịch thu chống buôn lậu</t>
  </si>
  <si>
    <t>10.7</t>
  </si>
  <si>
    <t>10.8</t>
  </si>
  <si>
    <t>10.9</t>
  </si>
  <si>
    <t>10.10</t>
  </si>
  <si>
    <t>10.11</t>
  </si>
  <si>
    <t>10.12</t>
  </si>
  <si>
    <t>Thu khác hải quan</t>
  </si>
  <si>
    <t>NGƯỜI LẬP BIỂU</t>
  </si>
  <si>
    <t>TỔNG CHI</t>
  </si>
  <si>
    <t xml:space="preserve">      UBND TỈNH QUẢNG BÌNH</t>
  </si>
  <si>
    <t>(Dùng cho Ủy ban nhân dân cấp tỉnh Báo cáo Bộ Tài chính)</t>
  </si>
  <si>
    <t>Tổng số chi NSĐP</t>
  </si>
  <si>
    <t>7.2.1</t>
  </si>
  <si>
    <t>7.2.2</t>
  </si>
  <si>
    <t>7.2.3</t>
  </si>
  <si>
    <t>Thu xổ số kiến thiết</t>
  </si>
  <si>
    <t xml:space="preserve">           SỞ TÀI CHÍNH</t>
  </si>
  <si>
    <t>Dự toán năm 2014</t>
  </si>
  <si>
    <t>Quyết toán năm 2014</t>
  </si>
  <si>
    <t>Chương trình mục tiêu quốc gia Việc làm</t>
  </si>
  <si>
    <t>Lệck KB 14 115. TC to hơn</t>
  </si>
  <si>
    <t>KB gộp CT đưa thông tin về miền núi vô chương trình HIV</t>
  </si>
  <si>
    <t>Chương trình MTQG khắc phục và cải thiện ô nhiễm môi trường</t>
  </si>
  <si>
    <t>PHÒNG QUẢN LÝ NGÂN SÁCH</t>
  </si>
  <si>
    <t>HUYỆN, THÀNH PHỐ NĂM 2014</t>
  </si>
  <si>
    <t>QUYẾT TOÁN CHI NGÂN SÁCH ĐỊA PHƯƠNG NĂM 2014</t>
  </si>
  <si>
    <t>Quảng Bình, ngày      tháng   9     năm 2015</t>
  </si>
  <si>
    <t>Quảng Bình, ngày        tháng   9     năm 2015</t>
  </si>
  <si>
    <t>QLNS</t>
  </si>
  <si>
    <t>TAB</t>
  </si>
  <si>
    <t>QUYẾT TOÁN CHI TỪ NGUỒN THU ĐƯỢC ĐỂ LẠI QUẢN LÝ QUA NSNN NĂM 2014</t>
  </si>
  <si>
    <t>TỔNG THU</t>
  </si>
  <si>
    <t>CHI XDCB</t>
  </si>
  <si>
    <t>Tổng chi TX</t>
  </si>
  <si>
    <t>TRONG ĐÓ: CHI THƯỜNG XUYÊN</t>
  </si>
  <si>
    <t>GD&amp;ĐT</t>
  </si>
  <si>
    <t>SN kinh tế</t>
  </si>
  <si>
    <t>SN Văn hoá</t>
  </si>
  <si>
    <t>Chi Quản lý NN</t>
  </si>
  <si>
    <t>ANQP</t>
  </si>
  <si>
    <t>SN Giao thông</t>
  </si>
  <si>
    <t>1. Huyện Minh Hoá</t>
  </si>
  <si>
    <t xml:space="preserve">   Ngân sách huyện</t>
  </si>
  <si>
    <t xml:space="preserve">   Ngân sách xã</t>
  </si>
  <si>
    <t>2. Huyện Tuyên Hoá</t>
  </si>
  <si>
    <t>3.Huyện Bố Trạch</t>
  </si>
  <si>
    <t>4.Huyện Quảng Trạch</t>
  </si>
  <si>
    <t>5.Thị xã Ba Đồn</t>
  </si>
  <si>
    <t>2.TP.Đồng Hới</t>
  </si>
  <si>
    <t>6.Huyện Quảng Ninh</t>
  </si>
  <si>
    <t>6.Huyện Lệ Thuỷ</t>
  </si>
  <si>
    <t xml:space="preserve">trừ đóng góp, xổ số, viện trợ </t>
  </si>
  <si>
    <t>trừ đóng góp, viện trợ</t>
  </si>
  <si>
    <t>viện trợ cấp xã quảng ninh</t>
  </si>
  <si>
    <t>xdcb</t>
  </si>
  <si>
    <t>qlnn</t>
  </si>
  <si>
    <t xml:space="preserve">          GIÁM ĐỐC SỞ TÀI CHÍNH</t>
  </si>
  <si>
    <t xml:space="preserve">              GIÁM ĐỐC KBNN </t>
  </si>
  <si>
    <t>C. Thu NSĐP được hưởng theo phân cấp</t>
  </si>
  <si>
    <t xml:space="preserve">                                                                                                                                          Độc lập - Tự do - Hạnh phúc</t>
  </si>
  <si>
    <t xml:space="preserve">      UBND TỈNH QUẢNG BÌNH                                                             CỘNG HOÀ XÃ HỘI CHỦ NGHĨA VIỆT NAM                                                            Phụ lục số 6.39</t>
  </si>
  <si>
    <t>6. Thu từ thu nhập sau thuế</t>
  </si>
  <si>
    <t>19. Các loại phí, lệ phí</t>
  </si>
  <si>
    <t>Viện phí</t>
  </si>
  <si>
    <t>4.1</t>
  </si>
  <si>
    <t>4.2</t>
  </si>
  <si>
    <t>4.3</t>
  </si>
  <si>
    <t>4.4</t>
  </si>
  <si>
    <t>4.5</t>
  </si>
  <si>
    <t>QUYẾT TOÁN THU NGÂN SÁCH NHÀ NƯỚC NĂM 2013</t>
  </si>
  <si>
    <t>Huyện Lệ Thủy</t>
  </si>
  <si>
    <t>Tỉnh giao</t>
  </si>
  <si>
    <t>3=4+5</t>
  </si>
  <si>
    <t>Thu từ DNNN Trương ương</t>
  </si>
  <si>
    <t>Thu tiền cấp quyền khai thác khoáng sản</t>
  </si>
  <si>
    <t>1.2.7</t>
  </si>
  <si>
    <t>Thu xổ só kiến thiết</t>
  </si>
  <si>
    <t>Thuế sử dụng đất nông nghiệp</t>
  </si>
  <si>
    <t>Thu phí xăng dầu</t>
  </si>
  <si>
    <t>Các khoản thu về nhà, đất</t>
  </si>
  <si>
    <t>Thuế nhà đất</t>
  </si>
  <si>
    <t>Thuế chuyển quyền sử dụng đất</t>
  </si>
  <si>
    <t>Thuế sử dụng đất phi nông nghiệp</t>
  </si>
  <si>
    <t>9.7</t>
  </si>
  <si>
    <t>11</t>
  </si>
  <si>
    <t>Thu sự nghiệp(không kể thu tại xã)</t>
  </si>
  <si>
    <t>11.1</t>
  </si>
  <si>
    <t>11.2</t>
  </si>
  <si>
    <t>11.3</t>
  </si>
  <si>
    <t>11.4</t>
  </si>
  <si>
    <t>Thu phạt khác (không kể thu tại xã)</t>
  </si>
  <si>
    <t>11.5</t>
  </si>
  <si>
    <t>11.6</t>
  </si>
  <si>
    <t>11.7</t>
  </si>
  <si>
    <t>11.8</t>
  </si>
  <si>
    <t>11.9</t>
  </si>
  <si>
    <t>11.10</t>
  </si>
  <si>
    <t>11.11</t>
  </si>
  <si>
    <t>Lãi từ vốn góp của Chỉnh phủ</t>
  </si>
  <si>
    <t>11.12</t>
  </si>
  <si>
    <t>Thu nợ gốc cho vay (không kể vay, viện trợ cho vay lại)</t>
  </si>
  <si>
    <t>11.13</t>
  </si>
  <si>
    <t>Thu phạt ATGT (không kể ở xã)</t>
  </si>
  <si>
    <t>Thu viện phí</t>
  </si>
  <si>
    <t>Thu chống buôn lậu</t>
  </si>
  <si>
    <t>6.1</t>
  </si>
  <si>
    <t>6.2</t>
  </si>
  <si>
    <t>6.3</t>
  </si>
  <si>
    <t>6.4</t>
  </si>
  <si>
    <t>6.5</t>
  </si>
  <si>
    <t>Xử phạt hành chính và khác</t>
  </si>
  <si>
    <t>Phí Phòng nha</t>
  </si>
  <si>
    <t>Phí, lệ phí khác</t>
  </si>
  <si>
    <t>12</t>
  </si>
  <si>
    <t>Thu đền bù bị thu hồi</t>
  </si>
  <si>
    <t>13</t>
  </si>
  <si>
    <t>GTGC hạ tầng tạo quỹ đất</t>
  </si>
  <si>
    <t>Toàn tỉnh</t>
  </si>
  <si>
    <t>Cấp tỉnh</t>
  </si>
  <si>
    <t>4.Ba Đồn</t>
  </si>
  <si>
    <t>Kết dư</t>
  </si>
  <si>
    <t>Tổng chi</t>
  </si>
  <si>
    <t>trừ chi chuyển giao</t>
  </si>
  <si>
    <t>Còn lại thực chi</t>
  </si>
  <si>
    <t>Tổng thu</t>
  </si>
  <si>
    <t>trừ thu chuyển giao</t>
  </si>
  <si>
    <t>Còn lại thực thu</t>
  </si>
  <si>
    <t>8.6</t>
  </si>
  <si>
    <t>QUYẾT TOÁN THU NGÂN SÁCH NHÀ NƯỚC NĂM 2015</t>
  </si>
  <si>
    <t>QUYẾT TOÁN CHI NSĐP NĂM 2015</t>
  </si>
  <si>
    <t>QUYẾT TOÁN THU NGÂN SÁCH THEO SẮC THUẾ NĂM 2015</t>
  </si>
  <si>
    <t>Dự toán năm 2015 (HĐND tỉnh giao)</t>
  </si>
  <si>
    <t>Quyết toán năm 2015</t>
  </si>
  <si>
    <t>Quảng Bình, ngày      tháng     năm 2016</t>
  </si>
  <si>
    <t>Quảng Bình, ngày      tháng    năm 2016</t>
  </si>
  <si>
    <t>Dự toán năm 2015</t>
  </si>
  <si>
    <t>CHƯƠNG TRÌNH 135, DỰ ÁN TRỒNG MỚI 5 TRIỆU HA RỪNG NĂM 2015</t>
  </si>
  <si>
    <t>Quảng Bình, ngày         tháng     năm 2016</t>
  </si>
  <si>
    <t>Quảng Bình, ngày        tháng    năm 2016</t>
  </si>
  <si>
    <t>CÂN ĐỐI NGÂN SÁCH TỈNH NĂM 2015</t>
  </si>
  <si>
    <t>Tổng số (A đến D)</t>
  </si>
  <si>
    <t>Quảng Bình, ngày      tháng   10   năm 2016</t>
  </si>
  <si>
    <t>Quảng Bình, ngày      tháng  10   năm 2016</t>
  </si>
  <si>
    <t>QUYẾT TOÁN THU, CHI NGÂN SÁCH NĂM 2015</t>
  </si>
  <si>
    <t xml:space="preserve"> QUYẾT TOÁN 2015</t>
  </si>
  <si>
    <t>Ngày ……... tháng 9 năm 2016</t>
  </si>
  <si>
    <t>Ngày … tháng … năm 2016</t>
  </si>
  <si>
    <t>QUYẾT TOÁN NGÂN SÁCH ĐỊA PHƯƠNG NĂM  2015</t>
  </si>
  <si>
    <t>26. Thu cấp quyền khai thác khoáng sản</t>
  </si>
  <si>
    <t>Ba Đồn</t>
  </si>
  <si>
    <t>Bố Trach</t>
  </si>
  <si>
    <t>DĐỒng Hới</t>
  </si>
  <si>
    <t>Quảng Bình, ngày      tháng  9   năm 2016</t>
  </si>
  <si>
    <t>Quảng Bình, ngày      tháng  9 năm 2016</t>
  </si>
  <si>
    <t>Quảng Bình, ngày         tháng  9 năm 2016</t>
  </si>
  <si>
    <t>Quảng Bình, ngày        tháng  9  năm 2016</t>
  </si>
  <si>
    <t>Quảng Bình, ngày         tháng   9    năm 2016</t>
  </si>
  <si>
    <t>Quảng Bình, ngày      tháng   9   năm 2016</t>
  </si>
  <si>
    <t>Thu phí, lệ phí xã</t>
  </si>
  <si>
    <t>Chi Đầu tư XDCB</t>
  </si>
  <si>
    <t>Chi TX</t>
  </si>
  <si>
    <t>Chi từ nguồn thu học phí</t>
  </si>
  <si>
    <t>Chi từ nguồn huy động đóng góp khác</t>
  </si>
  <si>
    <t>Chi từ nguồn viện trợ</t>
  </si>
  <si>
    <t>QuyÕt to¸n chi tõ nguån thu ®Ó l¹i qu¶n lý qua NSNN n¨m 2015</t>
  </si>
  <si>
    <t>Tổng cộng</t>
  </si>
  <si>
    <t>Chi sự nghiệp giáo dục đào tạo</t>
  </si>
  <si>
    <t>Cộng chi thường xuyên</t>
  </si>
  <si>
    <t>TM ỦY BAN NHÂN DÂN TỈNH</t>
  </si>
  <si>
    <t>4,544,452,608,340</t>
  </si>
  <si>
    <t xml:space="preserve">1,287,438,492,507 </t>
  </si>
  <si>
    <t xml:space="preserve">(Kèm theo Nghị quyết số         /2016/NQ-HĐND ngày        tháng        năm 2016 của Hội đồng nhân dân tỉnh Quảng Bình) </t>
  </si>
  <si>
    <t xml:space="preserve"> QUYẾT TOÁN 2014</t>
  </si>
  <si>
    <t>1.1.15</t>
  </si>
  <si>
    <t>Thu cố định tại xã</t>
  </si>
  <si>
    <t xml:space="preserve">(Kèm theo Báo cáo số         /BC-UBND ngày        tháng       năm 2016 của UBND tỉnh Quảng Bình) </t>
  </si>
  <si>
    <t>DỰ TOÁN 2015</t>
  </si>
  <si>
    <t>So sánh QT 2015 với</t>
  </si>
  <si>
    <t xml:space="preserve">Kèm theo Tờ trình số         /TTr-UBND ngày       tháng 11 năm 2016 của Ủy ban nhân dân tỉnh Quảng Bình)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</si>
</sst>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###,###"/>
    <numFmt numFmtId="180" formatCode="###,###,###"/>
    <numFmt numFmtId="181" formatCode="#,##0;[Red]\-#,##0;&quot;&quot;;_-@"/>
    <numFmt numFmtId="182" formatCode="###\ ###\ ###\ ###"/>
    <numFmt numFmtId="183" formatCode="_(* #,##0.0_);_(* \(#,##0.0\);_(* &quot;-&quot;??_);_(@_)"/>
    <numFmt numFmtId="184" formatCode="0.0%"/>
    <numFmt numFmtId="185" formatCode="_(* #,##0.000_);_(* \(#,##0.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33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i/>
      <sz val="11"/>
      <name val="Calibri"/>
      <family val="2"/>
    </font>
    <font>
      <b/>
      <i/>
      <sz val="12"/>
      <name val="Times New Roman"/>
      <family val="1"/>
    </font>
    <font>
      <i/>
      <sz val="9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sz val="10"/>
      <name val=".VnTime"/>
      <family val="2"/>
    </font>
    <font>
      <sz val="12"/>
      <name val=".VnTime"/>
      <family val="2"/>
    </font>
    <font>
      <i/>
      <sz val="12"/>
      <name val="Times New Roman"/>
      <family val="1"/>
    </font>
    <font>
      <b/>
      <sz val="9"/>
      <name val=".VnTime"/>
      <family val="2"/>
    </font>
    <font>
      <b/>
      <sz val="12"/>
      <name val=".VnTime"/>
      <family val="2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sz val="11"/>
      <color indexed="8"/>
      <name val="Calibri"/>
      <family val="2"/>
    </font>
    <font>
      <i/>
      <sz val="12"/>
      <color indexed="23"/>
      <name val=".VnTime"/>
      <family val="2"/>
    </font>
    <font>
      <u val="single"/>
      <sz val="13.2"/>
      <color indexed="36"/>
      <name val="Calibri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u val="single"/>
      <sz val="13.2"/>
      <color indexed="12"/>
      <name val="Calibri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10"/>
      <name val="Times New Roman"/>
      <family val="1"/>
    </font>
    <font>
      <sz val="9"/>
      <name val="Arial"/>
      <family val="2"/>
    </font>
    <font>
      <sz val="13"/>
      <name val="VnTime"/>
      <family val="0"/>
    </font>
    <font>
      <b/>
      <sz val="14"/>
      <name val=".VnTime"/>
      <family val="2"/>
    </font>
    <font>
      <sz val="14"/>
      <name val=".VnTime"/>
      <family val="2"/>
    </font>
    <font>
      <sz val="13"/>
      <name val=".VnTimeH"/>
      <family val="2"/>
    </font>
    <font>
      <i/>
      <sz val="14"/>
      <name val="Times New Roman"/>
      <family val="1"/>
    </font>
    <font>
      <i/>
      <sz val="14"/>
      <name val=".VnTime"/>
      <family val="2"/>
    </font>
    <font>
      <i/>
      <sz val="13"/>
      <name val=".VnTimeH"/>
      <family val="2"/>
    </font>
    <font>
      <sz val="13"/>
      <name val=".VnTime"/>
      <family val="2"/>
    </font>
    <font>
      <b/>
      <sz val="12"/>
      <name val=".VnAvantH"/>
      <family val="2"/>
    </font>
    <font>
      <b/>
      <u val="single"/>
      <sz val="12"/>
      <name val=".VnTime"/>
      <family val="2"/>
    </font>
    <font>
      <b/>
      <u val="single"/>
      <sz val="12"/>
      <name val="Times New Roman"/>
      <family val="1"/>
    </font>
    <font>
      <b/>
      <sz val="12"/>
      <name val="VnTime"/>
      <family val="0"/>
    </font>
    <font>
      <b/>
      <sz val="12"/>
      <color indexed="12"/>
      <name val=".VnTime"/>
      <family val="2"/>
    </font>
    <font>
      <b/>
      <i/>
      <sz val="12"/>
      <name val=".VnTime"/>
      <family val="2"/>
    </font>
    <font>
      <sz val="12"/>
      <color indexed="8"/>
      <name val="Calibri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2"/>
      <name val=".VnArial Narrow"/>
      <family val="2"/>
    </font>
    <font>
      <i/>
      <sz val="10"/>
      <name val="Times New Roman"/>
      <family val="1"/>
    </font>
    <font>
      <b/>
      <u val="single"/>
      <sz val="12"/>
      <name val=".VnArial Narrow"/>
      <family val="2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sz val="8"/>
      <name val=".VnTime"/>
      <family val="2"/>
    </font>
    <font>
      <sz val="8"/>
      <color indexed="8"/>
      <name val="Calibri"/>
      <family val="2"/>
    </font>
    <font>
      <sz val="12"/>
      <name val="VnTime"/>
      <family val="0"/>
    </font>
    <font>
      <b/>
      <sz val="14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sz val="10"/>
      <color indexed="9"/>
      <name val="Times New Roman"/>
      <family val="1"/>
    </font>
    <font>
      <b/>
      <i/>
      <sz val="14"/>
      <name val="Times New Roman"/>
      <family val="1"/>
    </font>
    <font>
      <sz val="11"/>
      <name val=".VnArial Narrow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.VnTime"/>
      <family val="2"/>
    </font>
    <font>
      <sz val="12"/>
      <name val=".VnArial Narrow"/>
      <family val="2"/>
    </font>
    <font>
      <sz val="7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9"/>
      <name val="Times New Roman"/>
      <family val="1"/>
    </font>
    <font>
      <b/>
      <u val="double"/>
      <sz val="11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0"/>
      <name val="Arial"/>
      <family val="2"/>
    </font>
    <font>
      <b/>
      <u val="single"/>
      <sz val="9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i/>
      <sz val="10"/>
      <color indexed="9"/>
      <name val="Arial"/>
      <family val="2"/>
    </font>
    <font>
      <i/>
      <sz val="8"/>
      <name val="Calibri"/>
      <family val="2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2"/>
      <name val=".VnArial"/>
      <family val="0"/>
    </font>
    <font>
      <b/>
      <sz val="14"/>
      <name val=".VnTimeH"/>
      <family val="2"/>
    </font>
    <font>
      <sz val="10"/>
      <name val=".VnArial"/>
      <family val="0"/>
    </font>
    <font>
      <i/>
      <sz val="10"/>
      <name val=".VnArial"/>
      <family val="0"/>
    </font>
    <font>
      <b/>
      <sz val="12"/>
      <name val=".VnArial"/>
      <family val="0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02" fillId="0" borderId="3" applyNumberFormat="0" applyAlignment="0" applyProtection="0"/>
    <xf numFmtId="0" fontId="102" fillId="0" borderId="4">
      <alignment horizontal="left" vertical="center"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8" applyNumberFormat="0" applyFill="0" applyAlignment="0" applyProtection="0"/>
    <xf numFmtId="0" fontId="41" fillId="22" borderId="0" applyNumberFormat="0" applyBorder="0" applyAlignment="0" applyProtection="0"/>
    <xf numFmtId="0" fontId="65" fillId="0" borderId="0">
      <alignment/>
      <protection/>
    </xf>
    <xf numFmtId="0" fontId="31" fillId="0" borderId="0">
      <alignment/>
      <protection/>
    </xf>
    <xf numFmtId="0" fontId="10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23" borderId="9" applyNumberFormat="0" applyFont="0" applyAlignment="0" applyProtection="0"/>
    <xf numFmtId="0" fontId="42" fillId="20" borderId="10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89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3" fontId="8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1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wrapText="1"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3" fontId="47" fillId="0" borderId="0" xfId="63" applyNumberFormat="1" applyFont="1">
      <alignment/>
      <protection/>
    </xf>
    <xf numFmtId="3" fontId="50" fillId="0" borderId="12" xfId="63" applyNumberFormat="1" applyFont="1" applyBorder="1" applyAlignment="1">
      <alignment horizontal="center" vertical="center" wrapText="1"/>
      <protection/>
    </xf>
    <xf numFmtId="0" fontId="51" fillId="0" borderId="13" xfId="63" applyFont="1" applyBorder="1" applyAlignment="1">
      <alignment horizontal="left" vertical="center" wrapText="1"/>
      <protection/>
    </xf>
    <xf numFmtId="3" fontId="52" fillId="0" borderId="14" xfId="63" applyNumberFormat="1" applyFont="1" applyBorder="1" applyAlignment="1">
      <alignment horizontal="right" vertical="center" wrapText="1"/>
      <protection/>
    </xf>
    <xf numFmtId="3" fontId="51" fillId="0" borderId="13" xfId="63" applyNumberFormat="1" applyFont="1" applyBorder="1" applyAlignment="1">
      <alignment horizontal="left" vertical="center" wrapText="1"/>
      <protection/>
    </xf>
    <xf numFmtId="0" fontId="54" fillId="0" borderId="14" xfId="63" applyFont="1" applyBorder="1" applyAlignment="1">
      <alignment horizontal="left" vertical="center" wrapText="1"/>
      <protection/>
    </xf>
    <xf numFmtId="0" fontId="55" fillId="0" borderId="14" xfId="63" applyFont="1" applyBorder="1" applyAlignment="1">
      <alignment horizontal="left" vertical="center" wrapText="1"/>
      <protection/>
    </xf>
    <xf numFmtId="3" fontId="56" fillId="0" borderId="14" xfId="63" applyNumberFormat="1" applyFont="1" applyBorder="1" applyAlignment="1">
      <alignment horizontal="right" vertical="center" wrapText="1"/>
      <protection/>
    </xf>
    <xf numFmtId="3" fontId="57" fillId="0" borderId="14" xfId="63" applyNumberFormat="1" applyFont="1" applyBorder="1" applyAlignment="1">
      <alignment horizontal="left" vertical="center" wrapText="1"/>
      <protection/>
    </xf>
    <xf numFmtId="0" fontId="57" fillId="0" borderId="14" xfId="63" applyFont="1" applyBorder="1" applyAlignment="1">
      <alignment horizontal="left" vertical="center" wrapText="1"/>
      <protection/>
    </xf>
    <xf numFmtId="0" fontId="56" fillId="0" borderId="14" xfId="63" applyFont="1" applyBorder="1" applyAlignment="1">
      <alignment horizontal="right" vertical="center" wrapText="1"/>
      <protection/>
    </xf>
    <xf numFmtId="49" fontId="57" fillId="0" borderId="14" xfId="63" applyNumberFormat="1" applyFont="1" applyBorder="1" applyAlignment="1">
      <alignment horizontal="left" vertical="center" wrapText="1"/>
      <protection/>
    </xf>
    <xf numFmtId="0" fontId="23" fillId="0" borderId="14" xfId="63" applyFont="1" applyFill="1" applyBorder="1" applyAlignment="1">
      <alignment horizontal="left" vertical="center" wrapText="1"/>
      <protection/>
    </xf>
    <xf numFmtId="3" fontId="9" fillId="0" borderId="14" xfId="63" applyNumberFormat="1" applyFont="1" applyFill="1" applyBorder="1" applyAlignment="1">
      <alignment horizontal="right" vertical="center" wrapText="1"/>
      <protection/>
    </xf>
    <xf numFmtId="0" fontId="4" fillId="0" borderId="14" xfId="63" applyFont="1" applyFill="1" applyBorder="1" applyAlignment="1">
      <alignment horizontal="left" vertical="center" wrapText="1"/>
      <protection/>
    </xf>
    <xf numFmtId="0" fontId="60" fillId="0" borderId="14" xfId="63" applyFont="1" applyBorder="1" applyAlignment="1">
      <alignment horizontal="left" vertical="center" wrapText="1"/>
      <protection/>
    </xf>
    <xf numFmtId="3" fontId="61" fillId="0" borderId="14" xfId="63" applyNumberFormat="1" applyFont="1" applyBorder="1" applyAlignment="1">
      <alignment horizontal="right" vertical="center" wrapText="1"/>
      <protection/>
    </xf>
    <xf numFmtId="49" fontId="60" fillId="0" borderId="14" xfId="63" applyNumberFormat="1" applyFont="1" applyBorder="1" applyAlignment="1">
      <alignment horizontal="left" vertical="center" wrapText="1"/>
      <protection/>
    </xf>
    <xf numFmtId="0" fontId="31" fillId="0" borderId="0" xfId="63">
      <alignment/>
      <protection/>
    </xf>
    <xf numFmtId="0" fontId="52" fillId="0" borderId="17" xfId="63" applyFont="1" applyBorder="1" applyAlignment="1">
      <alignment horizontal="left" vertical="center" wrapText="1"/>
      <protection/>
    </xf>
    <xf numFmtId="3" fontId="52" fillId="0" borderId="17" xfId="63" applyNumberFormat="1" applyFont="1" applyBorder="1" applyAlignment="1">
      <alignment horizontal="right" vertical="center" wrapText="1"/>
      <protection/>
    </xf>
    <xf numFmtId="0" fontId="58" fillId="0" borderId="0" xfId="63" applyFont="1">
      <alignment/>
      <protection/>
    </xf>
    <xf numFmtId="3" fontId="56" fillId="0" borderId="0" xfId="63" applyNumberFormat="1" applyFont="1">
      <alignment/>
      <protection/>
    </xf>
    <xf numFmtId="0" fontId="56" fillId="0" borderId="0" xfId="63" applyFont="1">
      <alignment/>
      <protection/>
    </xf>
    <xf numFmtId="3" fontId="52" fillId="0" borderId="0" xfId="63" applyNumberFormat="1" applyFont="1">
      <alignment/>
      <protection/>
    </xf>
    <xf numFmtId="3" fontId="63" fillId="0" borderId="0" xfId="63" applyNumberFormat="1" applyFont="1">
      <alignment/>
      <protection/>
    </xf>
    <xf numFmtId="3" fontId="54" fillId="0" borderId="0" xfId="63" applyNumberFormat="1" applyFont="1" applyAlignment="1">
      <alignment horizontal="center"/>
      <protection/>
    </xf>
    <xf numFmtId="0" fontId="54" fillId="0" borderId="0" xfId="63" applyFont="1" applyAlignment="1">
      <alignment horizontal="center"/>
      <protection/>
    </xf>
    <xf numFmtId="0" fontId="64" fillId="0" borderId="0" xfId="0" applyFont="1" applyAlignment="1">
      <alignment/>
    </xf>
    <xf numFmtId="0" fontId="1" fillId="0" borderId="0" xfId="0" applyFont="1" applyAlignment="1">
      <alignment/>
    </xf>
    <xf numFmtId="3" fontId="54" fillId="0" borderId="14" xfId="63" applyNumberFormat="1" applyFont="1" applyBorder="1" applyAlignment="1">
      <alignment horizontal="left" vertical="center" wrapText="1"/>
      <protection/>
    </xf>
    <xf numFmtId="0" fontId="52" fillId="0" borderId="14" xfId="63" applyFont="1" applyBorder="1" applyAlignment="1">
      <alignment horizontal="right" vertical="center" wrapText="1"/>
      <protection/>
    </xf>
    <xf numFmtId="3" fontId="56" fillId="0" borderId="15" xfId="63" applyNumberFormat="1" applyFont="1" applyBorder="1" applyAlignment="1">
      <alignment horizontal="right" vertical="center" wrapText="1"/>
      <protection/>
    </xf>
    <xf numFmtId="0" fontId="66" fillId="0" borderId="0" xfId="62" applyFont="1" applyAlignment="1">
      <alignment horizontal="centerContinuous"/>
      <protection/>
    </xf>
    <xf numFmtId="0" fontId="65" fillId="0" borderId="0" xfId="59" applyFont="1" applyFill="1">
      <alignment/>
      <protection/>
    </xf>
    <xf numFmtId="0" fontId="68" fillId="0" borderId="0" xfId="59" applyFont="1" applyFill="1">
      <alignment/>
      <protection/>
    </xf>
    <xf numFmtId="0" fontId="71" fillId="0" borderId="0" xfId="59" applyFont="1" applyFill="1">
      <alignment/>
      <protection/>
    </xf>
    <xf numFmtId="0" fontId="66" fillId="0" borderId="0" xfId="59" applyFont="1" applyFill="1">
      <alignment/>
      <protection/>
    </xf>
    <xf numFmtId="0" fontId="67" fillId="0" borderId="0" xfId="59" applyFont="1" applyFill="1" applyBorder="1" applyAlignment="1">
      <alignment/>
      <protection/>
    </xf>
    <xf numFmtId="0" fontId="70" fillId="0" borderId="0" xfId="59" applyFont="1" applyFill="1" applyAlignment="1">
      <alignment horizontal="centerContinuous" vertical="center"/>
      <protection/>
    </xf>
    <xf numFmtId="0" fontId="72" fillId="0" borderId="0" xfId="59" applyFont="1" applyFill="1">
      <alignment/>
      <protection/>
    </xf>
    <xf numFmtId="0" fontId="73" fillId="0" borderId="0" xfId="59" applyFont="1" applyFill="1" applyAlignment="1">
      <alignment vertical="center" wrapText="1"/>
      <protection/>
    </xf>
    <xf numFmtId="0" fontId="21" fillId="0" borderId="0" xfId="59" applyFont="1" applyFill="1">
      <alignment/>
      <protection/>
    </xf>
    <xf numFmtId="0" fontId="76" fillId="0" borderId="0" xfId="59" applyFont="1" applyFill="1">
      <alignment/>
      <protection/>
    </xf>
    <xf numFmtId="0" fontId="21" fillId="0" borderId="14" xfId="62" applyFont="1" applyFill="1" applyBorder="1" applyAlignment="1">
      <alignment horizontal="center" vertical="center"/>
      <protection/>
    </xf>
    <xf numFmtId="0" fontId="59" fillId="0" borderId="0" xfId="59" applyFont="1" applyFill="1">
      <alignment/>
      <protection/>
    </xf>
    <xf numFmtId="0" fontId="21" fillId="0" borderId="14" xfId="59" applyFont="1" applyFill="1" applyBorder="1" applyAlignment="1">
      <alignment horizontal="center" vertical="center"/>
      <protection/>
    </xf>
    <xf numFmtId="0" fontId="15" fillId="0" borderId="0" xfId="59" applyFont="1" applyFill="1">
      <alignment/>
      <protection/>
    </xf>
    <xf numFmtId="0" fontId="18" fillId="0" borderId="0" xfId="59" applyFont="1" applyFill="1">
      <alignment/>
      <protection/>
    </xf>
    <xf numFmtId="0" fontId="77" fillId="0" borderId="14" xfId="59" applyFont="1" applyFill="1" applyBorder="1" applyAlignment="1">
      <alignment horizontal="center" vertical="center"/>
      <protection/>
    </xf>
    <xf numFmtId="0" fontId="78" fillId="0" borderId="0" xfId="59" applyFont="1" applyFill="1">
      <alignment/>
      <protection/>
    </xf>
    <xf numFmtId="0" fontId="77" fillId="0" borderId="14" xfId="59" applyFont="1" applyFill="1" applyBorder="1" applyAlignment="1">
      <alignment horizontal="center" vertical="center" wrapText="1"/>
      <protection/>
    </xf>
    <xf numFmtId="0" fontId="78" fillId="0" borderId="0" xfId="59" applyFont="1" applyFill="1" applyAlignment="1">
      <alignment vertical="center" wrapText="1"/>
      <protection/>
    </xf>
    <xf numFmtId="0" fontId="15" fillId="0" borderId="0" xfId="62" applyFont="1">
      <alignment/>
      <protection/>
    </xf>
    <xf numFmtId="3" fontId="79" fillId="0" borderId="0" xfId="62" applyNumberFormat="1" applyFont="1">
      <alignment/>
      <protection/>
    </xf>
    <xf numFmtId="0" fontId="79" fillId="0" borderId="0" xfId="62" applyFont="1">
      <alignment/>
      <protection/>
    </xf>
    <xf numFmtId="0" fontId="15" fillId="0" borderId="0" xfId="62" applyFont="1" applyAlignment="1">
      <alignment horizontal="center"/>
      <protection/>
    </xf>
    <xf numFmtId="0" fontId="67" fillId="0" borderId="0" xfId="59" applyFont="1" applyFill="1">
      <alignment/>
      <protection/>
    </xf>
    <xf numFmtId="0" fontId="70" fillId="0" borderId="0" xfId="62" applyFont="1" applyAlignment="1">
      <alignment horizontal="centerContinuous"/>
      <protection/>
    </xf>
    <xf numFmtId="0" fontId="80" fillId="0" borderId="0" xfId="59" applyFont="1" applyFill="1">
      <alignment/>
      <protection/>
    </xf>
    <xf numFmtId="0" fontId="81" fillId="0" borderId="0" xfId="62" applyFont="1" applyAlignment="1">
      <alignment horizontal="centerContinuous"/>
      <protection/>
    </xf>
    <xf numFmtId="0" fontId="15" fillId="0" borderId="0" xfId="63" applyFont="1" applyAlignment="1">
      <alignment horizontal="left"/>
      <protection/>
    </xf>
    <xf numFmtId="0" fontId="18" fillId="0" borderId="0" xfId="63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79" fillId="0" borderId="0" xfId="63" applyFont="1">
      <alignment/>
      <protection/>
    </xf>
    <xf numFmtId="0" fontId="15" fillId="0" borderId="0" xfId="63" applyFont="1" applyAlignment="1">
      <alignment horizontal="centerContinuous"/>
      <protection/>
    </xf>
    <xf numFmtId="0" fontId="59" fillId="0" borderId="0" xfId="63" applyFont="1" applyAlignment="1">
      <alignment horizontal="centerContinuous"/>
      <protection/>
    </xf>
    <xf numFmtId="0" fontId="59" fillId="0" borderId="0" xfId="63" applyFont="1">
      <alignment/>
      <protection/>
    </xf>
    <xf numFmtId="0" fontId="18" fillId="0" borderId="0" xfId="63" applyFont="1">
      <alignment/>
      <protection/>
    </xf>
    <xf numFmtId="0" fontId="82" fillId="0" borderId="12" xfId="63" applyFont="1" applyBorder="1" applyAlignment="1">
      <alignment horizontal="center" vertical="center" wrapText="1"/>
      <protection/>
    </xf>
    <xf numFmtId="0" fontId="82" fillId="0" borderId="12" xfId="63" applyFont="1" applyBorder="1" applyAlignment="1">
      <alignment horizontal="centerContinuous" vertical="center" wrapText="1"/>
      <protection/>
    </xf>
    <xf numFmtId="0" fontId="23" fillId="0" borderId="12" xfId="63" applyFont="1" applyBorder="1" applyAlignment="1">
      <alignment vertical="center" wrapText="1"/>
      <protection/>
    </xf>
    <xf numFmtId="0" fontId="15" fillId="0" borderId="0" xfId="63" applyFont="1" applyAlignment="1">
      <alignment vertical="center" wrapText="1"/>
      <protection/>
    </xf>
    <xf numFmtId="0" fontId="23" fillId="0" borderId="12" xfId="63" applyFont="1" applyBorder="1" applyAlignment="1">
      <alignment horizontal="centerContinuous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23" fillId="0" borderId="12" xfId="63" applyFont="1" applyBorder="1" applyAlignment="1">
      <alignment horizontal="center"/>
      <protection/>
    </xf>
    <xf numFmtId="0" fontId="23" fillId="0" borderId="12" xfId="63" applyFont="1" applyBorder="1" applyAlignment="1" quotePrefix="1">
      <alignment horizontal="center"/>
      <protection/>
    </xf>
    <xf numFmtId="0" fontId="15" fillId="0" borderId="0" xfId="63" applyFont="1" applyAlignment="1">
      <alignment horizontal="center"/>
      <protection/>
    </xf>
    <xf numFmtId="0" fontId="83" fillId="0" borderId="18" xfId="63" applyFont="1" applyBorder="1" applyAlignment="1">
      <alignment horizontal="center" vertical="center" wrapText="1"/>
      <protection/>
    </xf>
    <xf numFmtId="0" fontId="83" fillId="0" borderId="18" xfId="63" applyFont="1" applyBorder="1" applyAlignment="1">
      <alignment horizontal="justify" vertical="center" wrapText="1"/>
      <protection/>
    </xf>
    <xf numFmtId="3" fontId="82" fillId="0" borderId="18" xfId="63" applyNumberFormat="1" applyFont="1" applyBorder="1" applyAlignment="1">
      <alignment horizontal="right" vertical="center" wrapText="1"/>
      <protection/>
    </xf>
    <xf numFmtId="3" fontId="23" fillId="0" borderId="18" xfId="63" applyNumberFormat="1" applyFont="1" applyBorder="1" applyAlignment="1">
      <alignment horizontal="right" vertical="center" wrapText="1"/>
      <protection/>
    </xf>
    <xf numFmtId="9" fontId="23" fillId="0" borderId="18" xfId="63" applyNumberFormat="1" applyFont="1" applyBorder="1" applyAlignment="1">
      <alignment horizontal="right" vertical="center" wrapText="1"/>
      <protection/>
    </xf>
    <xf numFmtId="0" fontId="73" fillId="0" borderId="0" xfId="63" applyFont="1" applyAlignment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4" xfId="63" applyFont="1" applyBorder="1" applyAlignment="1">
      <alignment horizontal="justify" vertical="center" wrapText="1"/>
      <protection/>
    </xf>
    <xf numFmtId="3" fontId="23" fillId="0" borderId="14" xfId="63" applyNumberFormat="1" applyFont="1" applyBorder="1" applyAlignment="1">
      <alignment horizontal="right" vertical="center" wrapText="1"/>
      <protection/>
    </xf>
    <xf numFmtId="9" fontId="23" fillId="0" borderId="14" xfId="63" applyNumberFormat="1" applyFont="1" applyBorder="1" applyAlignment="1">
      <alignment horizontal="right" vertical="center" wrapText="1"/>
      <protection/>
    </xf>
    <xf numFmtId="0" fontId="83" fillId="0" borderId="14" xfId="63" applyFont="1" applyBorder="1" applyAlignment="1">
      <alignment horizontal="center" vertical="center" wrapText="1"/>
      <protection/>
    </xf>
    <xf numFmtId="0" fontId="83" fillId="0" borderId="14" xfId="63" applyFont="1" applyBorder="1" applyAlignment="1">
      <alignment horizontal="justify" vertical="center" wrapText="1"/>
      <protection/>
    </xf>
    <xf numFmtId="3" fontId="83" fillId="0" borderId="14" xfId="63" applyNumberFormat="1" applyFont="1" applyBorder="1" applyAlignment="1">
      <alignment horizontal="right" vertical="center" wrapText="1"/>
      <protection/>
    </xf>
    <xf numFmtId="3" fontId="84" fillId="0" borderId="0" xfId="63" applyNumberFormat="1" applyFont="1" applyAlignment="1">
      <alignment vertical="center" wrapText="1"/>
      <protection/>
    </xf>
    <xf numFmtId="0" fontId="85" fillId="0" borderId="14" xfId="63" applyFont="1" applyBorder="1" applyAlignment="1">
      <alignment horizontal="center" vertical="center" wrapText="1"/>
      <protection/>
    </xf>
    <xf numFmtId="0" fontId="85" fillId="0" borderId="14" xfId="63" applyFont="1" applyBorder="1" applyAlignment="1" quotePrefix="1">
      <alignment horizontal="justify" vertical="center" wrapText="1"/>
      <protection/>
    </xf>
    <xf numFmtId="3" fontId="85" fillId="0" borderId="14" xfId="63" applyNumberFormat="1" applyFont="1" applyBorder="1" applyAlignment="1" quotePrefix="1">
      <alignment horizontal="right" vertical="center" wrapText="1"/>
      <protection/>
    </xf>
    <xf numFmtId="3" fontId="85" fillId="0" borderId="14" xfId="63" applyNumberFormat="1" applyFont="1" applyBorder="1" applyAlignment="1">
      <alignment horizontal="right" vertical="center" wrapText="1"/>
      <protection/>
    </xf>
    <xf numFmtId="3" fontId="23" fillId="0" borderId="14" xfId="63" applyNumberFormat="1" applyFont="1" applyBorder="1" applyAlignment="1" quotePrefix="1">
      <alignment horizontal="right" vertical="center" wrapText="1"/>
      <protection/>
    </xf>
    <xf numFmtId="0" fontId="85" fillId="0" borderId="14" xfId="63" applyFont="1" applyBorder="1" applyAlignment="1">
      <alignment horizontal="justify" vertical="center" wrapText="1"/>
      <protection/>
    </xf>
    <xf numFmtId="3" fontId="79" fillId="0" borderId="0" xfId="63" applyNumberFormat="1" applyFont="1" applyAlignment="1">
      <alignment vertical="center" wrapText="1"/>
      <protection/>
    </xf>
    <xf numFmtId="3" fontId="86" fillId="0" borderId="0" xfId="63" applyNumberFormat="1" applyFont="1" applyAlignment="1">
      <alignment vertical="center" wrapText="1"/>
      <protection/>
    </xf>
    <xf numFmtId="0" fontId="23" fillId="0" borderId="14" xfId="63" applyFont="1" applyBorder="1" applyAlignment="1">
      <alignment vertical="center" wrapText="1"/>
      <protection/>
    </xf>
    <xf numFmtId="0" fontId="23" fillId="0" borderId="19" xfId="63" applyFont="1" applyBorder="1" applyAlignment="1">
      <alignment horizontal="center" vertical="center" wrapText="1"/>
      <protection/>
    </xf>
    <xf numFmtId="0" fontId="23" fillId="0" borderId="19" xfId="63" applyFont="1" applyBorder="1" applyAlignment="1">
      <alignment horizontal="justify" vertical="center" wrapText="1"/>
      <protection/>
    </xf>
    <xf numFmtId="3" fontId="23" fillId="0" borderId="19" xfId="63" applyNumberFormat="1" applyFont="1" applyBorder="1" applyAlignment="1">
      <alignment horizontal="right" vertical="center" wrapText="1"/>
      <protection/>
    </xf>
    <xf numFmtId="3" fontId="87" fillId="0" borderId="19" xfId="63" applyNumberFormat="1" applyFont="1" applyBorder="1" applyAlignment="1">
      <alignment horizontal="right" vertical="center" wrapText="1"/>
      <protection/>
    </xf>
    <xf numFmtId="3" fontId="86" fillId="0" borderId="0" xfId="63" applyNumberFormat="1" applyFont="1" applyAlignment="1">
      <alignment vertical="center" wrapText="1"/>
      <protection/>
    </xf>
    <xf numFmtId="3" fontId="75" fillId="0" borderId="0" xfId="63" applyNumberFormat="1" applyFont="1" applyAlignment="1">
      <alignment vertical="center" wrapText="1"/>
      <protection/>
    </xf>
    <xf numFmtId="0" fontId="23" fillId="0" borderId="17" xfId="63" applyFont="1" applyBorder="1" applyAlignment="1">
      <alignment horizontal="center" vertical="center" wrapText="1"/>
      <protection/>
    </xf>
    <xf numFmtId="0" fontId="23" fillId="0" borderId="17" xfId="63" applyFont="1" applyBorder="1" applyAlignment="1">
      <alignment horizontal="justify" vertical="center" wrapText="1"/>
      <protection/>
    </xf>
    <xf numFmtId="3" fontId="23" fillId="0" borderId="17" xfId="63" applyNumberFormat="1" applyFont="1" applyBorder="1" applyAlignment="1" quotePrefix="1">
      <alignment horizontal="right" vertical="center" wrapText="1"/>
      <protection/>
    </xf>
    <xf numFmtId="3" fontId="23" fillId="0" borderId="17" xfId="63" applyNumberFormat="1" applyFont="1" applyBorder="1" applyAlignment="1">
      <alignment horizontal="right" vertical="center" wrapText="1"/>
      <protection/>
    </xf>
    <xf numFmtId="0" fontId="59" fillId="0" borderId="0" xfId="63" applyFont="1" applyBorder="1" applyAlignment="1">
      <alignment horizontal="center" vertical="center" wrapText="1"/>
      <protection/>
    </xf>
    <xf numFmtId="0" fontId="18" fillId="0" borderId="0" xfId="63" applyFont="1" applyBorder="1" applyAlignment="1">
      <alignment horizontal="justify" vertical="center" wrapText="1"/>
      <protection/>
    </xf>
    <xf numFmtId="3" fontId="75" fillId="0" borderId="0" xfId="63" applyNumberFormat="1" applyFont="1" applyBorder="1" applyAlignment="1">
      <alignment horizontal="right" vertical="center" wrapText="1"/>
      <protection/>
    </xf>
    <xf numFmtId="3" fontId="88" fillId="0" borderId="0" xfId="63" applyNumberFormat="1" applyFont="1" applyBorder="1" applyAlignment="1">
      <alignment horizontal="right" vertical="center" wrapText="1"/>
      <protection/>
    </xf>
    <xf numFmtId="9" fontId="59" fillId="0" borderId="0" xfId="63" applyNumberFormat="1" applyFont="1" applyBorder="1" applyAlignment="1">
      <alignment horizontal="right" vertical="center" wrapText="1"/>
      <protection/>
    </xf>
    <xf numFmtId="3" fontId="59" fillId="0" borderId="0" xfId="63" applyNumberFormat="1" applyFont="1">
      <alignment/>
      <protection/>
    </xf>
    <xf numFmtId="3" fontId="18" fillId="0" borderId="0" xfId="63" applyNumberFormat="1" applyFont="1">
      <alignment/>
      <protection/>
    </xf>
    <xf numFmtId="3" fontId="79" fillId="0" borderId="0" xfId="63" applyNumberFormat="1" applyFont="1">
      <alignment/>
      <protection/>
    </xf>
    <xf numFmtId="0" fontId="59" fillId="0" borderId="0" xfId="59" applyFont="1" applyFill="1" applyAlignment="1">
      <alignment horizontal="centerContinuous"/>
      <protection/>
    </xf>
    <xf numFmtId="0" fontId="9" fillId="0" borderId="0" xfId="63" applyFont="1">
      <alignment/>
      <protection/>
    </xf>
    <xf numFmtId="0" fontId="89" fillId="0" borderId="0" xfId="63" applyFont="1">
      <alignment/>
      <protection/>
    </xf>
    <xf numFmtId="3" fontId="9" fillId="0" borderId="0" xfId="63" applyNumberFormat="1" applyFont="1">
      <alignment/>
      <protection/>
    </xf>
    <xf numFmtId="3" fontId="89" fillId="0" borderId="0" xfId="63" applyNumberFormat="1" applyFont="1">
      <alignment/>
      <protection/>
    </xf>
    <xf numFmtId="3" fontId="90" fillId="0" borderId="0" xfId="63" applyNumberFormat="1" applyFont="1">
      <alignment/>
      <protection/>
    </xf>
    <xf numFmtId="0" fontId="90" fillId="0" borderId="0" xfId="63" applyFont="1">
      <alignment/>
      <protection/>
    </xf>
    <xf numFmtId="0" fontId="85" fillId="0" borderId="14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justify" vertical="center" wrapText="1"/>
      <protection/>
    </xf>
    <xf numFmtId="0" fontId="18" fillId="0" borderId="14" xfId="62" applyFont="1" applyFill="1" applyBorder="1" applyAlignment="1">
      <alignment horizontal="center" vertical="center"/>
      <protection/>
    </xf>
    <xf numFmtId="0" fontId="91" fillId="0" borderId="0" xfId="59" applyFont="1" applyFill="1">
      <alignment/>
      <protection/>
    </xf>
    <xf numFmtId="9" fontId="23" fillId="0" borderId="20" xfId="63" applyNumberFormat="1" applyFont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0" fontId="23" fillId="0" borderId="0" xfId="0" applyFont="1" applyAlignment="1">
      <alignment/>
    </xf>
    <xf numFmtId="0" fontId="19" fillId="0" borderId="0" xfId="59" applyFont="1" applyFill="1" applyAlignment="1">
      <alignment horizontal="right" vertical="center"/>
      <protection/>
    </xf>
    <xf numFmtId="0" fontId="15" fillId="0" borderId="14" xfId="59" applyFont="1" applyFill="1" applyBorder="1" applyAlignment="1">
      <alignment horizontal="center"/>
      <protection/>
    </xf>
    <xf numFmtId="3" fontId="9" fillId="0" borderId="0" xfId="59" applyNumberFormat="1" applyFont="1" applyFill="1" applyAlignment="1">
      <alignment horizontal="centerContinuous"/>
      <protection/>
    </xf>
    <xf numFmtId="179" fontId="7" fillId="0" borderId="14" xfId="59" applyNumberFormat="1" applyFont="1" applyFill="1" applyBorder="1" applyAlignment="1">
      <alignment vertical="center"/>
      <protection/>
    </xf>
    <xf numFmtId="9" fontId="4" fillId="0" borderId="14" xfId="59" applyNumberFormat="1" applyFont="1" applyFill="1" applyBorder="1" applyAlignment="1">
      <alignment vertical="center"/>
      <protection/>
    </xf>
    <xf numFmtId="179" fontId="4" fillId="0" borderId="14" xfId="59" applyNumberFormat="1" applyFont="1" applyFill="1" applyBorder="1" applyAlignment="1">
      <alignment vertical="center"/>
      <protection/>
    </xf>
    <xf numFmtId="179" fontId="7" fillId="0" borderId="14" xfId="59" applyNumberFormat="1" applyFont="1" applyFill="1" applyBorder="1" applyAlignment="1" quotePrefix="1">
      <alignment vertical="center"/>
      <protection/>
    </xf>
    <xf numFmtId="179" fontId="4" fillId="0" borderId="14" xfId="59" applyNumberFormat="1" applyFont="1" applyFill="1" applyBorder="1" applyAlignment="1" quotePrefix="1">
      <alignment vertical="center"/>
      <protection/>
    </xf>
    <xf numFmtId="179" fontId="95" fillId="0" borderId="14" xfId="59" applyNumberFormat="1" applyFont="1" applyFill="1" applyBorder="1" applyAlignment="1" quotePrefix="1">
      <alignment vertical="center"/>
      <protection/>
    </xf>
    <xf numFmtId="179" fontId="95" fillId="0" borderId="14" xfId="59" applyNumberFormat="1" applyFont="1" applyFill="1" applyBorder="1" applyAlignment="1" quotePrefix="1">
      <alignment vertical="center" wrapText="1"/>
      <protection/>
    </xf>
    <xf numFmtId="179" fontId="7" fillId="0" borderId="14" xfId="59" applyNumberFormat="1" applyFont="1" applyFill="1" applyBorder="1" applyAlignment="1" quotePrefix="1">
      <alignment vertical="center" wrapText="1"/>
      <protection/>
    </xf>
    <xf numFmtId="0" fontId="7" fillId="0" borderId="14" xfId="59" applyFont="1" applyFill="1" applyBorder="1">
      <alignment/>
      <protection/>
    </xf>
    <xf numFmtId="3" fontId="7" fillId="0" borderId="14" xfId="59" applyNumberFormat="1" applyFont="1" applyFill="1" applyBorder="1">
      <alignment/>
      <protection/>
    </xf>
    <xf numFmtId="0" fontId="97" fillId="0" borderId="14" xfId="62" applyFont="1" applyFill="1" applyBorder="1" applyAlignment="1">
      <alignment vertical="center"/>
      <protection/>
    </xf>
    <xf numFmtId="179" fontId="98" fillId="0" borderId="14" xfId="62" applyNumberFormat="1" applyFont="1" applyFill="1" applyBorder="1" applyAlignment="1">
      <alignment vertical="center"/>
      <protection/>
    </xf>
    <xf numFmtId="179" fontId="3" fillId="0" borderId="14" xfId="62" applyNumberFormat="1" applyFont="1" applyFill="1" applyBorder="1" applyAlignment="1">
      <alignment vertical="center"/>
      <protection/>
    </xf>
    <xf numFmtId="0" fontId="97" fillId="0" borderId="14" xfId="59" applyFont="1" applyFill="1" applyBorder="1" applyAlignment="1">
      <alignment vertical="center" wrapText="1"/>
      <protection/>
    </xf>
    <xf numFmtId="0" fontId="97" fillId="0" borderId="14" xfId="59" applyNumberFormat="1" applyFont="1" applyFill="1" applyBorder="1" applyAlignment="1">
      <alignment vertical="center" wrapText="1"/>
      <protection/>
    </xf>
    <xf numFmtId="0" fontId="97" fillId="0" borderId="14" xfId="59" applyFont="1" applyFill="1" applyBorder="1" applyAlignment="1">
      <alignment vertical="center"/>
      <protection/>
    </xf>
    <xf numFmtId="0" fontId="97" fillId="0" borderId="14" xfId="59" applyFont="1" applyFill="1" applyBorder="1">
      <alignment/>
      <protection/>
    </xf>
    <xf numFmtId="3" fontId="17" fillId="0" borderId="0" xfId="62" applyNumberFormat="1" applyFont="1">
      <alignment/>
      <protection/>
    </xf>
    <xf numFmtId="179" fontId="97" fillId="0" borderId="14" xfId="62" applyNumberFormat="1" applyFont="1" applyFill="1" applyBorder="1" applyAlignment="1">
      <alignment vertical="center"/>
      <protection/>
    </xf>
    <xf numFmtId="9" fontId="7" fillId="0" borderId="14" xfId="59" applyNumberFormat="1" applyFont="1" applyFill="1" applyBorder="1" applyAlignment="1">
      <alignment vertical="center"/>
      <protection/>
    </xf>
    <xf numFmtId="3" fontId="1" fillId="0" borderId="0" xfId="0" applyNumberFormat="1" applyFont="1" applyAlignment="1">
      <alignment/>
    </xf>
    <xf numFmtId="3" fontId="82" fillId="0" borderId="13" xfId="0" applyNumberFormat="1" applyFont="1" applyFill="1" applyBorder="1" applyAlignment="1">
      <alignment horizontal="right" vertical="center" wrapText="1"/>
    </xf>
    <xf numFmtId="3" fontId="82" fillId="0" borderId="14" xfId="0" applyNumberFormat="1" applyFont="1" applyFill="1" applyBorder="1" applyAlignment="1">
      <alignment horizontal="right" vertical="center" wrapText="1"/>
    </xf>
    <xf numFmtId="3" fontId="94" fillId="0" borderId="14" xfId="0" applyNumberFormat="1" applyFont="1" applyFill="1" applyBorder="1" applyAlignment="1">
      <alignment horizontal="right" vertical="center" wrapText="1"/>
    </xf>
    <xf numFmtId="3" fontId="23" fillId="0" borderId="14" xfId="0" applyNumberFormat="1" applyFont="1" applyFill="1" applyBorder="1" applyAlignment="1">
      <alignment horizontal="right" vertical="center" wrapText="1"/>
    </xf>
    <xf numFmtId="3" fontId="82" fillId="0" borderId="17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0" fontId="82" fillId="0" borderId="0" xfId="0" applyFont="1" applyAlignment="1">
      <alignment/>
    </xf>
    <xf numFmtId="0" fontId="59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84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59" fillId="0" borderId="0" xfId="0" applyFont="1" applyAlignment="1">
      <alignment wrapText="1"/>
    </xf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/>
    </xf>
    <xf numFmtId="0" fontId="59" fillId="0" borderId="14" xfId="0" applyFont="1" applyBorder="1" applyAlignment="1">
      <alignment/>
    </xf>
    <xf numFmtId="0" fontId="59" fillId="0" borderId="17" xfId="0" applyFont="1" applyBorder="1" applyAlignment="1">
      <alignment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03" fillId="0" borderId="0" xfId="0" applyFont="1" applyAlignment="1">
      <alignment/>
    </xf>
    <xf numFmtId="0" fontId="81" fillId="0" borderId="0" xfId="0" applyFont="1" applyAlignment="1">
      <alignment horizontal="right"/>
    </xf>
    <xf numFmtId="0" fontId="103" fillId="0" borderId="0" xfId="0" applyFont="1" applyAlignment="1">
      <alignment horizontal="centerContinuous" vertical="center"/>
    </xf>
    <xf numFmtId="0" fontId="18" fillId="0" borderId="0" xfId="0" applyFont="1" applyAlignment="1">
      <alignment/>
    </xf>
    <xf numFmtId="0" fontId="104" fillId="0" borderId="0" xfId="0" applyFont="1" applyAlignment="1">
      <alignment/>
    </xf>
    <xf numFmtId="0" fontId="73" fillId="0" borderId="21" xfId="0" applyFont="1" applyBorder="1" applyAlignment="1">
      <alignment horizontal="centerContinuous" vertical="center"/>
    </xf>
    <xf numFmtId="0" fontId="73" fillId="0" borderId="0" xfId="0" applyFont="1" applyAlignment="1">
      <alignment horizontal="center"/>
    </xf>
    <xf numFmtId="0" fontId="73" fillId="0" borderId="22" xfId="0" applyFont="1" applyBorder="1" applyAlignment="1">
      <alignment horizontal="center"/>
    </xf>
    <xf numFmtId="0" fontId="73" fillId="0" borderId="0" xfId="0" applyFont="1" applyAlignment="1">
      <alignment/>
    </xf>
    <xf numFmtId="0" fontId="73" fillId="0" borderId="23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180" fontId="18" fillId="0" borderId="14" xfId="0" applyNumberFormat="1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03" fillId="0" borderId="2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5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59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89" fillId="0" borderId="0" xfId="42" applyNumberFormat="1" applyFont="1" applyAlignment="1">
      <alignment/>
    </xf>
    <xf numFmtId="178" fontId="89" fillId="0" borderId="0" xfId="42" applyNumberFormat="1" applyFont="1" applyFill="1" applyAlignment="1">
      <alignment/>
    </xf>
    <xf numFmtId="178" fontId="89" fillId="0" borderId="0" xfId="59" applyNumberFormat="1" applyFont="1" applyFill="1">
      <alignment/>
      <protection/>
    </xf>
    <xf numFmtId="0" fontId="74" fillId="0" borderId="18" xfId="59" applyFont="1" applyFill="1" applyBorder="1" applyAlignment="1">
      <alignment horizontal="center" vertical="center"/>
      <protection/>
    </xf>
    <xf numFmtId="0" fontId="96" fillId="0" borderId="18" xfId="59" applyFont="1" applyFill="1" applyBorder="1" applyAlignment="1">
      <alignment horizontal="left" vertical="center"/>
      <protection/>
    </xf>
    <xf numFmtId="179" fontId="7" fillId="0" borderId="18" xfId="59" applyNumberFormat="1" applyFont="1" applyFill="1" applyBorder="1" applyAlignment="1">
      <alignment vertical="center"/>
      <protection/>
    </xf>
    <xf numFmtId="9" fontId="4" fillId="0" borderId="18" xfId="59" applyNumberFormat="1" applyFont="1" applyFill="1" applyBorder="1" applyAlignment="1">
      <alignment vertical="center"/>
      <protection/>
    </xf>
    <xf numFmtId="0" fontId="15" fillId="0" borderId="12" xfId="59" applyFont="1" applyFill="1" applyBorder="1" applyAlignment="1">
      <alignment horizontal="centerContinuous" vertical="center" wrapText="1"/>
      <protection/>
    </xf>
    <xf numFmtId="0" fontId="21" fillId="0" borderId="12" xfId="59" applyFont="1" applyFill="1" applyBorder="1" applyAlignment="1">
      <alignment horizontal="centerContinuous" vertical="center" wrapText="1"/>
      <protection/>
    </xf>
    <xf numFmtId="0" fontId="21" fillId="0" borderId="12" xfId="59" applyFont="1" applyFill="1" applyBorder="1" applyAlignment="1">
      <alignment horizontal="center" vertical="center" wrapText="1"/>
      <protection/>
    </xf>
    <xf numFmtId="0" fontId="21" fillId="0" borderId="12" xfId="59" applyFont="1" applyFill="1" applyBorder="1" applyAlignment="1">
      <alignment horizontal="center" vertical="center"/>
      <protection/>
    </xf>
    <xf numFmtId="0" fontId="18" fillId="0" borderId="12" xfId="59" applyFont="1" applyFill="1" applyBorder="1" applyAlignment="1">
      <alignment horizontal="center" vertical="center"/>
      <protection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59" applyFont="1" applyFill="1">
      <alignment/>
      <protection/>
    </xf>
    <xf numFmtId="0" fontId="9" fillId="0" borderId="0" xfId="59" applyFont="1" applyFill="1">
      <alignment/>
      <protection/>
    </xf>
    <xf numFmtId="178" fontId="9" fillId="0" borderId="0" xfId="59" applyNumberFormat="1" applyFont="1" applyFill="1">
      <alignment/>
      <protection/>
    </xf>
    <xf numFmtId="3" fontId="9" fillId="0" borderId="0" xfId="59" applyNumberFormat="1" applyFont="1" applyFill="1">
      <alignment/>
      <protection/>
    </xf>
    <xf numFmtId="0" fontId="8" fillId="0" borderId="0" xfId="62" applyFont="1" applyAlignment="1">
      <alignment horizontal="centerContinuous"/>
      <protection/>
    </xf>
    <xf numFmtId="0" fontId="9" fillId="0" borderId="0" xfId="62" applyFont="1" applyAlignment="1">
      <alignment horizontal="centerContinuous"/>
      <protection/>
    </xf>
    <xf numFmtId="0" fontId="19" fillId="0" borderId="0" xfId="0" applyFont="1" applyAlignment="1">
      <alignment horizontal="right"/>
    </xf>
    <xf numFmtId="181" fontId="59" fillId="0" borderId="14" xfId="61" applyNumberFormat="1" applyFont="1" applyBorder="1">
      <alignment/>
      <protection/>
    </xf>
    <xf numFmtId="180" fontId="59" fillId="0" borderId="14" xfId="0" applyNumberFormat="1" applyFont="1" applyFill="1" applyBorder="1" applyAlignment="1">
      <alignment horizontal="center"/>
    </xf>
    <xf numFmtId="181" fontId="59" fillId="0" borderId="17" xfId="61" applyNumberFormat="1" applyFont="1" applyBorder="1">
      <alignment/>
      <protection/>
    </xf>
    <xf numFmtId="3" fontId="59" fillId="0" borderId="14" xfId="61" applyNumberFormat="1" applyFont="1" applyBorder="1" applyAlignment="1">
      <alignment horizontal="center"/>
      <protection/>
    </xf>
    <xf numFmtId="3" fontId="59" fillId="0" borderId="17" xfId="61" applyNumberFormat="1" applyFont="1" applyBorder="1" applyAlignment="1">
      <alignment horizontal="center"/>
      <protection/>
    </xf>
    <xf numFmtId="180" fontId="59" fillId="0" borderId="14" xfId="0" applyNumberFormat="1" applyFont="1" applyFill="1" applyBorder="1" applyAlignment="1">
      <alignment horizontal="right"/>
    </xf>
    <xf numFmtId="3" fontId="59" fillId="0" borderId="14" xfId="0" applyNumberFormat="1" applyFont="1" applyFill="1" applyBorder="1" applyAlignment="1">
      <alignment horizontal="right"/>
    </xf>
    <xf numFmtId="3" fontId="59" fillId="0" borderId="14" xfId="0" applyNumberFormat="1" applyFont="1" applyBorder="1" applyAlignment="1">
      <alignment horizontal="right"/>
    </xf>
    <xf numFmtId="3" fontId="59" fillId="0" borderId="14" xfId="0" applyNumberFormat="1" applyFont="1" applyBorder="1" applyAlignment="1">
      <alignment horizontal="center"/>
    </xf>
    <xf numFmtId="3" fontId="59" fillId="0" borderId="14" xfId="0" applyNumberFormat="1" applyFont="1" applyBorder="1" applyAlignment="1">
      <alignment/>
    </xf>
    <xf numFmtId="3" fontId="59" fillId="0" borderId="17" xfId="0" applyNumberFormat="1" applyFont="1" applyBorder="1" applyAlignment="1">
      <alignment horizontal="right"/>
    </xf>
    <xf numFmtId="3" fontId="59" fillId="0" borderId="17" xfId="0" applyNumberFormat="1" applyFont="1" applyFill="1" applyBorder="1" applyAlignment="1">
      <alignment horizontal="right"/>
    </xf>
    <xf numFmtId="3" fontId="59" fillId="0" borderId="17" xfId="0" applyNumberFormat="1" applyFont="1" applyBorder="1" applyAlignment="1">
      <alignment/>
    </xf>
    <xf numFmtId="3" fontId="59" fillId="0" borderId="17" xfId="0" applyNumberFormat="1" applyFont="1" applyBorder="1" applyAlignment="1">
      <alignment horizontal="center"/>
    </xf>
    <xf numFmtId="3" fontId="59" fillId="0" borderId="0" xfId="0" applyNumberFormat="1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Continuous" vertical="center"/>
    </xf>
    <xf numFmtId="0" fontId="21" fillId="0" borderId="12" xfId="0" applyFont="1" applyBorder="1" applyAlignment="1">
      <alignment horizontal="centerContinuous"/>
    </xf>
    <xf numFmtId="180" fontId="15" fillId="0" borderId="12" xfId="0" applyNumberFormat="1" applyFont="1" applyFill="1" applyBorder="1" applyAlignment="1" applyProtection="1">
      <alignment horizontal="center"/>
      <protection/>
    </xf>
    <xf numFmtId="180" fontId="21" fillId="0" borderId="12" xfId="0" applyNumberFormat="1" applyFont="1" applyFill="1" applyBorder="1" applyAlignment="1">
      <alignment horizontal="center"/>
    </xf>
    <xf numFmtId="180" fontId="15" fillId="0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180" fontId="75" fillId="0" borderId="13" xfId="0" applyNumberFormat="1" applyFont="1" applyFill="1" applyBorder="1" applyAlignment="1">
      <alignment horizontal="center" vertical="center" wrapText="1"/>
    </xf>
    <xf numFmtId="180" fontId="59" fillId="0" borderId="13" xfId="0" applyNumberFormat="1" applyFont="1" applyFill="1" applyBorder="1" applyAlignment="1">
      <alignment horizontal="center" vertical="center" wrapText="1"/>
    </xf>
    <xf numFmtId="180" fontId="18" fillId="0" borderId="13" xfId="0" applyNumberFormat="1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18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3" fontId="75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horizontal="center" wrapText="1"/>
    </xf>
    <xf numFmtId="3" fontId="18" fillId="0" borderId="25" xfId="0" applyNumberFormat="1" applyFont="1" applyBorder="1" applyAlignment="1">
      <alignment vertical="center" wrapText="1"/>
    </xf>
    <xf numFmtId="0" fontId="103" fillId="0" borderId="0" xfId="0" applyFont="1" applyAlignment="1">
      <alignment vertical="center" wrapText="1"/>
    </xf>
    <xf numFmtId="180" fontId="75" fillId="0" borderId="13" xfId="0" applyNumberFormat="1" applyFont="1" applyFill="1" applyBorder="1" applyAlignment="1">
      <alignment horizontal="left" vertical="center" wrapText="1"/>
    </xf>
    <xf numFmtId="3" fontId="59" fillId="0" borderId="14" xfId="0" applyNumberFormat="1" applyFont="1" applyFill="1" applyBorder="1" applyAlignment="1">
      <alignment horizontal="center"/>
    </xf>
    <xf numFmtId="178" fontId="103" fillId="0" borderId="0" xfId="42" applyNumberFormat="1" applyFont="1" applyAlignment="1">
      <alignment/>
    </xf>
    <xf numFmtId="178" fontId="73" fillId="0" borderId="0" xfId="42" applyNumberFormat="1" applyFont="1" applyAlignment="1">
      <alignment horizontal="center"/>
    </xf>
    <xf numFmtId="178" fontId="73" fillId="0" borderId="0" xfId="42" applyNumberFormat="1" applyFont="1" applyAlignment="1">
      <alignment/>
    </xf>
    <xf numFmtId="178" fontId="73" fillId="0" borderId="0" xfId="42" applyNumberFormat="1" applyFont="1" applyAlignment="1">
      <alignment horizontal="center" vertical="center" wrapText="1"/>
    </xf>
    <xf numFmtId="178" fontId="103" fillId="0" borderId="0" xfId="42" applyNumberFormat="1" applyFont="1" applyAlignment="1">
      <alignment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178" fontId="106" fillId="0" borderId="0" xfId="59" applyNumberFormat="1" applyFont="1" applyFill="1">
      <alignment/>
      <protection/>
    </xf>
    <xf numFmtId="49" fontId="1" fillId="0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3" fontId="110" fillId="0" borderId="0" xfId="0" applyNumberFormat="1" applyFont="1" applyAlignment="1">
      <alignment horizontal="left"/>
    </xf>
    <xf numFmtId="184" fontId="111" fillId="0" borderId="0" xfId="0" applyNumberFormat="1" applyFont="1" applyAlignment="1">
      <alignment horizontal="left"/>
    </xf>
    <xf numFmtId="184" fontId="110" fillId="0" borderId="0" xfId="0" applyNumberFormat="1" applyFont="1" applyAlignment="1">
      <alignment horizontal="left"/>
    </xf>
    <xf numFmtId="0" fontId="110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184" fontId="15" fillId="0" borderId="12" xfId="0" applyNumberFormat="1" applyFont="1" applyBorder="1" applyAlignment="1">
      <alignment horizontal="centerContinuous" vertical="center" wrapText="1"/>
    </xf>
    <xf numFmtId="0" fontId="59" fillId="0" borderId="12" xfId="0" applyFont="1" applyBorder="1" applyAlignment="1">
      <alignment vertical="center" wrapText="1"/>
    </xf>
    <xf numFmtId="184" fontId="15" fillId="0" borderId="12" xfId="0" applyNumberFormat="1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/>
    </xf>
    <xf numFmtId="3" fontId="59" fillId="0" borderId="18" xfId="0" applyNumberFormat="1" applyFont="1" applyBorder="1" applyAlignment="1">
      <alignment horizontal="left"/>
    </xf>
    <xf numFmtId="184" fontId="59" fillId="0" borderId="18" xfId="0" applyNumberFormat="1" applyFont="1" applyBorder="1" applyAlignment="1">
      <alignment horizontal="left"/>
    </xf>
    <xf numFmtId="0" fontId="59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3" fontId="15" fillId="0" borderId="14" xfId="0" applyNumberFormat="1" applyFont="1" applyBorder="1" applyAlignment="1">
      <alignment/>
    </xf>
    <xf numFmtId="2" fontId="15" fillId="0" borderId="14" xfId="0" applyNumberFormat="1" applyFont="1" applyBorder="1" applyAlignment="1">
      <alignment horizontal="right"/>
    </xf>
    <xf numFmtId="4" fontId="15" fillId="0" borderId="14" xfId="0" applyNumberFormat="1" applyFont="1" applyBorder="1" applyAlignment="1">
      <alignment horizontal="right"/>
    </xf>
    <xf numFmtId="0" fontId="12" fillId="0" borderId="14" xfId="0" applyFont="1" applyBorder="1" applyAlignment="1">
      <alignment horizontal="left"/>
    </xf>
    <xf numFmtId="3" fontId="12" fillId="0" borderId="14" xfId="0" applyNumberFormat="1" applyFont="1" applyBorder="1" applyAlignment="1">
      <alignment horizontal="right"/>
    </xf>
    <xf numFmtId="0" fontId="15" fillId="0" borderId="14" xfId="0" applyFont="1" applyBorder="1" applyAlignment="1">
      <alignment horizontal="left"/>
    </xf>
    <xf numFmtId="3" fontId="15" fillId="0" borderId="14" xfId="0" applyNumberFormat="1" applyFont="1" applyBorder="1" applyAlignment="1">
      <alignment horizontal="right"/>
    </xf>
    <xf numFmtId="0" fontId="59" fillId="0" borderId="14" xfId="0" applyFont="1" applyBorder="1" applyAlignment="1">
      <alignment horizontal="left"/>
    </xf>
    <xf numFmtId="3" fontId="59" fillId="0" borderId="14" xfId="0" applyNumberFormat="1" applyFont="1" applyFill="1" applyBorder="1" applyAlignment="1">
      <alignment vertical="center" wrapText="1"/>
    </xf>
    <xf numFmtId="2" fontId="59" fillId="0" borderId="14" xfId="0" applyNumberFormat="1" applyFont="1" applyBorder="1" applyAlignment="1">
      <alignment horizontal="right"/>
    </xf>
    <xf numFmtId="4" fontId="59" fillId="0" borderId="14" xfId="0" applyNumberFormat="1" applyFont="1" applyBorder="1" applyAlignment="1">
      <alignment horizontal="right"/>
    </xf>
    <xf numFmtId="3" fontId="59" fillId="0" borderId="14" xfId="42" applyNumberFormat="1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3" fontId="19" fillId="0" borderId="14" xfId="0" applyNumberFormat="1" applyFont="1" applyBorder="1" applyAlignment="1">
      <alignment/>
    </xf>
    <xf numFmtId="2" fontId="19" fillId="0" borderId="14" xfId="0" applyNumberFormat="1" applyFont="1" applyBorder="1" applyAlignment="1">
      <alignment horizontal="right"/>
    </xf>
    <xf numFmtId="4" fontId="19" fillId="0" borderId="14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5" fillId="0" borderId="14" xfId="0" applyFont="1" applyBorder="1" applyAlignment="1">
      <alignment vertical="center" wrapText="1"/>
    </xf>
    <xf numFmtId="4" fontId="15" fillId="0" borderId="14" xfId="0" applyNumberFormat="1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3" fontId="59" fillId="0" borderId="14" xfId="0" applyNumberFormat="1" applyFont="1" applyBorder="1" applyAlignment="1">
      <alignment vertical="center" wrapText="1"/>
    </xf>
    <xf numFmtId="4" fontId="59" fillId="0" borderId="14" xfId="0" applyNumberFormat="1" applyFont="1" applyBorder="1" applyAlignment="1">
      <alignment horizontal="right" vertical="center" wrapText="1"/>
    </xf>
    <xf numFmtId="0" fontId="15" fillId="0" borderId="14" xfId="0" applyFont="1" applyFill="1" applyBorder="1" applyAlignment="1">
      <alignment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0" fontId="75" fillId="0" borderId="14" xfId="0" applyFont="1" applyBorder="1" applyAlignment="1">
      <alignment horizontal="center"/>
    </xf>
    <xf numFmtId="3" fontId="110" fillId="0" borderId="14" xfId="0" applyNumberFormat="1" applyFont="1" applyFill="1" applyBorder="1" applyAlignment="1">
      <alignment/>
    </xf>
    <xf numFmtId="0" fontId="15" fillId="0" borderId="14" xfId="0" applyFont="1" applyBorder="1" applyAlignment="1">
      <alignment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3" fontId="15" fillId="0" borderId="18" xfId="0" applyNumberFormat="1" applyFont="1" applyBorder="1" applyAlignment="1">
      <alignment horizontal="right" vertical="center" wrapText="1"/>
    </xf>
    <xf numFmtId="0" fontId="15" fillId="0" borderId="17" xfId="0" applyFont="1" applyBorder="1" applyAlignment="1">
      <alignment horizontal="center"/>
    </xf>
    <xf numFmtId="0" fontId="15" fillId="0" borderId="17" xfId="0" applyFont="1" applyBorder="1" applyAlignment="1">
      <alignment/>
    </xf>
    <xf numFmtId="3" fontId="15" fillId="0" borderId="17" xfId="0" applyNumberFormat="1" applyFont="1" applyBorder="1" applyAlignment="1">
      <alignment/>
    </xf>
    <xf numFmtId="2" fontId="59" fillId="0" borderId="17" xfId="0" applyNumberFormat="1" applyFont="1" applyBorder="1" applyAlignment="1">
      <alignment horizontal="right"/>
    </xf>
    <xf numFmtId="4" fontId="59" fillId="0" borderId="17" xfId="0" applyNumberFormat="1" applyFont="1" applyBorder="1" applyAlignment="1">
      <alignment horizontal="right"/>
    </xf>
    <xf numFmtId="184" fontId="59" fillId="0" borderId="0" xfId="0" applyNumberFormat="1" applyFont="1" applyAlignment="1">
      <alignment/>
    </xf>
    <xf numFmtId="0" fontId="15" fillId="0" borderId="14" xfId="0" applyFont="1" applyBorder="1" applyAlignment="1">
      <alignment horizontal="left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2" fontId="15" fillId="0" borderId="14" xfId="0" applyNumberFormat="1" applyFont="1" applyBorder="1" applyAlignment="1">
      <alignment horizontal="right" vertical="center" wrapText="1"/>
    </xf>
    <xf numFmtId="2" fontId="59" fillId="0" borderId="14" xfId="0" applyNumberFormat="1" applyFont="1" applyBorder="1" applyAlignment="1">
      <alignment horizontal="right" vertical="center" wrapText="1"/>
    </xf>
    <xf numFmtId="0" fontId="59" fillId="0" borderId="14" xfId="0" applyFont="1" applyBorder="1" applyAlignment="1">
      <alignment horizontal="left" wrapText="1"/>
    </xf>
    <xf numFmtId="3" fontId="59" fillId="0" borderId="14" xfId="0" applyNumberFormat="1" applyFont="1" applyFill="1" applyBorder="1" applyAlignment="1">
      <alignment horizontal="right" wrapText="1"/>
    </xf>
    <xf numFmtId="2" fontId="59" fillId="0" borderId="14" xfId="0" applyNumberFormat="1" applyFont="1" applyBorder="1" applyAlignment="1">
      <alignment horizontal="right" wrapText="1"/>
    </xf>
    <xf numFmtId="4" fontId="59" fillId="0" borderId="14" xfId="0" applyNumberFormat="1" applyFont="1" applyBorder="1" applyAlignment="1">
      <alignment horizontal="right" wrapText="1"/>
    </xf>
    <xf numFmtId="0" fontId="19" fillId="0" borderId="14" xfId="0" applyFont="1" applyBorder="1" applyAlignment="1" quotePrefix="1">
      <alignment horizontal="left"/>
    </xf>
    <xf numFmtId="0" fontId="15" fillId="0" borderId="12" xfId="0" applyFont="1" applyBorder="1" applyAlignment="1">
      <alignment/>
    </xf>
    <xf numFmtId="0" fontId="59" fillId="0" borderId="12" xfId="0" applyFont="1" applyBorder="1" applyAlignment="1">
      <alignment/>
    </xf>
    <xf numFmtId="178" fontId="15" fillId="0" borderId="12" xfId="42" applyNumberFormat="1" applyFont="1" applyBorder="1" applyAlignment="1">
      <alignment horizontal="center"/>
    </xf>
    <xf numFmtId="178" fontId="15" fillId="0" borderId="12" xfId="42" applyNumberFormat="1" applyFont="1" applyBorder="1" applyAlignment="1">
      <alignment horizontal="right" wrapText="1"/>
    </xf>
    <xf numFmtId="178" fontId="15" fillId="0" borderId="12" xfId="42" applyNumberFormat="1" applyFont="1" applyBorder="1" applyAlignment="1">
      <alignment horizontal="right"/>
    </xf>
    <xf numFmtId="178" fontId="59" fillId="0" borderId="12" xfId="42" applyNumberFormat="1" applyFont="1" applyBorder="1" applyAlignment="1">
      <alignment horizontal="right"/>
    </xf>
    <xf numFmtId="178" fontId="59" fillId="0" borderId="12" xfId="42" applyNumberFormat="1" applyFont="1" applyBorder="1" applyAlignment="1">
      <alignment horizontal="right" wrapText="1"/>
    </xf>
    <xf numFmtId="178" fontId="0" fillId="0" borderId="0" xfId="42" applyNumberFormat="1" applyFont="1" applyAlignment="1">
      <alignment/>
    </xf>
    <xf numFmtId="178" fontId="0" fillId="0" borderId="0" xfId="0" applyNumberFormat="1" applyAlignment="1">
      <alignment/>
    </xf>
    <xf numFmtId="3" fontId="82" fillId="0" borderId="13" xfId="0" applyNumberFormat="1" applyFont="1" applyBorder="1" applyAlignment="1">
      <alignment horizontal="right" vertical="center" wrapText="1"/>
    </xf>
    <xf numFmtId="3" fontId="82" fillId="0" borderId="14" xfId="0" applyNumberFormat="1" applyFont="1" applyBorder="1" applyAlignment="1">
      <alignment horizontal="right" vertical="center" wrapText="1"/>
    </xf>
    <xf numFmtId="3" fontId="94" fillId="0" borderId="14" xfId="0" applyNumberFormat="1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3" fontId="99" fillId="0" borderId="14" xfId="0" applyNumberFormat="1" applyFont="1" applyBorder="1" applyAlignment="1">
      <alignment horizontal="right" vertical="center" wrapText="1"/>
    </xf>
    <xf numFmtId="3" fontId="85" fillId="0" borderId="14" xfId="0" applyNumberFormat="1" applyFont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9" fontId="23" fillId="0" borderId="0" xfId="0" applyNumberFormat="1" applyFont="1" applyBorder="1" applyAlignment="1">
      <alignment horizontal="left" vertical="center"/>
    </xf>
    <xf numFmtId="3" fontId="23" fillId="0" borderId="0" xfId="0" applyNumberFormat="1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left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right" vertical="center"/>
    </xf>
    <xf numFmtId="3" fontId="23" fillId="0" borderId="15" xfId="0" applyNumberFormat="1" applyFont="1" applyBorder="1" applyAlignment="1">
      <alignment horizontal="right" vertical="center"/>
    </xf>
    <xf numFmtId="4" fontId="23" fillId="0" borderId="15" xfId="0" applyNumberFormat="1" applyFont="1" applyBorder="1" applyAlignment="1">
      <alignment horizontal="right" vertical="center"/>
    </xf>
    <xf numFmtId="0" fontId="82" fillId="20" borderId="12" xfId="0" applyFont="1" applyFill="1" applyBorder="1" applyAlignment="1">
      <alignment horizontal="center" vertical="center" wrapText="1"/>
    </xf>
    <xf numFmtId="3" fontId="82" fillId="20" borderId="12" xfId="0" applyNumberFormat="1" applyFont="1" applyFill="1" applyBorder="1" applyAlignment="1">
      <alignment horizontal="center" vertical="center" wrapText="1"/>
    </xf>
    <xf numFmtId="4" fontId="82" fillId="20" borderId="12" xfId="0" applyNumberFormat="1" applyFont="1" applyFill="1" applyBorder="1" applyAlignment="1">
      <alignment horizontal="center" vertical="center" wrapText="1"/>
    </xf>
    <xf numFmtId="0" fontId="82" fillId="24" borderId="0" xfId="0" applyFont="1" applyFill="1" applyBorder="1" applyAlignment="1">
      <alignment horizontal="center"/>
    </xf>
    <xf numFmtId="49" fontId="82" fillId="20" borderId="1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82" fillId="0" borderId="26" xfId="0" applyNumberFormat="1" applyFont="1" applyBorder="1" applyAlignment="1">
      <alignment horizontal="center" vertical="center"/>
    </xf>
    <xf numFmtId="49" fontId="82" fillId="0" borderId="26" xfId="0" applyNumberFormat="1" applyFont="1" applyBorder="1" applyAlignment="1">
      <alignment horizontal="left" vertical="center" wrapText="1"/>
    </xf>
    <xf numFmtId="3" fontId="82" fillId="0" borderId="26" xfId="0" applyNumberFormat="1" applyFont="1" applyBorder="1" applyAlignment="1">
      <alignment horizontal="right" vertical="center" wrapText="1"/>
    </xf>
    <xf numFmtId="4" fontId="82" fillId="0" borderId="13" xfId="0" applyNumberFormat="1" applyFont="1" applyBorder="1" applyAlignment="1">
      <alignment horizontal="right" vertical="center" wrapText="1"/>
    </xf>
    <xf numFmtId="49" fontId="82" fillId="0" borderId="27" xfId="0" applyNumberFormat="1" applyFont="1" applyBorder="1" applyAlignment="1">
      <alignment horizontal="center" vertical="center"/>
    </xf>
    <xf numFmtId="49" fontId="82" fillId="0" borderId="27" xfId="0" applyNumberFormat="1" applyFont="1" applyBorder="1" applyAlignment="1">
      <alignment horizontal="left" vertical="center" wrapText="1"/>
    </xf>
    <xf numFmtId="3" fontId="82" fillId="0" borderId="27" xfId="0" applyNumberFormat="1" applyFont="1" applyBorder="1" applyAlignment="1">
      <alignment horizontal="right" vertical="center" wrapText="1"/>
    </xf>
    <xf numFmtId="4" fontId="82" fillId="0" borderId="14" xfId="0" applyNumberFormat="1" applyFont="1" applyBorder="1" applyAlignment="1">
      <alignment horizontal="right" vertical="center" wrapText="1"/>
    </xf>
    <xf numFmtId="49" fontId="94" fillId="0" borderId="27" xfId="0" applyNumberFormat="1" applyFont="1" applyBorder="1" applyAlignment="1">
      <alignment horizontal="center" vertical="center"/>
    </xf>
    <xf numFmtId="49" fontId="94" fillId="0" borderId="27" xfId="0" applyNumberFormat="1" applyFont="1" applyBorder="1" applyAlignment="1">
      <alignment horizontal="left" vertical="center" wrapText="1"/>
    </xf>
    <xf numFmtId="3" fontId="94" fillId="0" borderId="27" xfId="0" applyNumberFormat="1" applyFont="1" applyBorder="1" applyAlignment="1">
      <alignment horizontal="right" vertical="center" wrapText="1"/>
    </xf>
    <xf numFmtId="0" fontId="94" fillId="0" borderId="0" xfId="0" applyFont="1" applyAlignment="1">
      <alignment/>
    </xf>
    <xf numFmtId="49" fontId="23" fillId="0" borderId="27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left" vertical="center" wrapText="1"/>
    </xf>
    <xf numFmtId="3" fontId="23" fillId="0" borderId="27" xfId="0" applyNumberFormat="1" applyFont="1" applyBorder="1" applyAlignment="1">
      <alignment horizontal="right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4" fontId="94" fillId="0" borderId="14" xfId="0" applyNumberFormat="1" applyFont="1" applyBorder="1" applyAlignment="1">
      <alignment horizontal="right" vertical="center" wrapText="1"/>
    </xf>
    <xf numFmtId="49" fontId="82" fillId="0" borderId="28" xfId="0" applyNumberFormat="1" applyFont="1" applyBorder="1" applyAlignment="1">
      <alignment horizontal="center" vertical="center"/>
    </xf>
    <xf numFmtId="49" fontId="82" fillId="0" borderId="28" xfId="0" applyNumberFormat="1" applyFont="1" applyBorder="1" applyAlignment="1">
      <alignment horizontal="left" vertical="center" wrapText="1"/>
    </xf>
    <xf numFmtId="3" fontId="82" fillId="0" borderId="28" xfId="0" applyNumberFormat="1" applyFont="1" applyBorder="1" applyAlignment="1">
      <alignment horizontal="right" vertical="center" wrapText="1"/>
    </xf>
    <xf numFmtId="4" fontId="82" fillId="0" borderId="17" xfId="0" applyNumberFormat="1" applyFont="1" applyBorder="1" applyAlignment="1">
      <alignment horizontal="right" vertical="center" wrapText="1"/>
    </xf>
    <xf numFmtId="49" fontId="23" fillId="0" borderId="29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left" vertical="center" wrapText="1"/>
    </xf>
    <xf numFmtId="3" fontId="23" fillId="0" borderId="29" xfId="0" applyNumberFormat="1" applyFont="1" applyBorder="1" applyAlignment="1">
      <alignment horizontal="right" vertical="center" wrapText="1"/>
    </xf>
    <xf numFmtId="4" fontId="23" fillId="0" borderId="29" xfId="0" applyNumberFormat="1" applyFont="1" applyBorder="1" applyAlignment="1">
      <alignment horizontal="right" vertical="center" wrapText="1"/>
    </xf>
    <xf numFmtId="4" fontId="23" fillId="0" borderId="16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59" fillId="0" borderId="0" xfId="0" applyFont="1" applyFill="1" applyAlignment="1">
      <alignment/>
    </xf>
    <xf numFmtId="178" fontId="23" fillId="0" borderId="0" xfId="0" applyNumberFormat="1" applyFont="1" applyFill="1" applyAlignment="1">
      <alignment/>
    </xf>
    <xf numFmtId="178" fontId="23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178" fontId="50" fillId="0" borderId="0" xfId="42" applyNumberFormat="1" applyFont="1" applyFill="1" applyBorder="1" applyAlignment="1">
      <alignment vertical="center" wrapText="1"/>
    </xf>
    <xf numFmtId="178" fontId="82" fillId="0" borderId="0" xfId="42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178" fontId="55" fillId="0" borderId="0" xfId="42" applyNumberFormat="1" applyFont="1" applyFill="1" applyBorder="1" applyAlignment="1">
      <alignment vertical="center" wrapText="1"/>
    </xf>
    <xf numFmtId="178" fontId="23" fillId="0" borderId="0" xfId="42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8" fontId="9" fillId="0" borderId="14" xfId="42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178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3" fontId="63" fillId="0" borderId="14" xfId="0" applyNumberFormat="1" applyFont="1" applyFill="1" applyBorder="1" applyAlignment="1">
      <alignment horizontal="right" vertical="center" wrapText="1"/>
    </xf>
    <xf numFmtId="178" fontId="63" fillId="0" borderId="14" xfId="42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178" fontId="9" fillId="0" borderId="0" xfId="0" applyNumberFormat="1" applyFont="1" applyFill="1" applyAlignment="1">
      <alignment/>
    </xf>
    <xf numFmtId="3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52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vertical="center" wrapText="1"/>
    </xf>
    <xf numFmtId="178" fontId="52" fillId="0" borderId="20" xfId="42" applyNumberFormat="1" applyFont="1" applyFill="1" applyBorder="1" applyAlignment="1">
      <alignment vertical="center" wrapText="1"/>
    </xf>
    <xf numFmtId="178" fontId="8" fillId="0" borderId="20" xfId="42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97" fillId="0" borderId="17" xfId="59" applyFont="1" applyFill="1" applyBorder="1" applyAlignment="1">
      <alignment vertical="center" wrapText="1"/>
      <protection/>
    </xf>
    <xf numFmtId="179" fontId="7" fillId="0" borderId="17" xfId="59" applyNumberFormat="1" applyFont="1" applyFill="1" applyBorder="1" applyAlignment="1">
      <alignment vertical="center" wrapText="1"/>
      <protection/>
    </xf>
    <xf numFmtId="3" fontId="7" fillId="0" borderId="17" xfId="59" applyNumberFormat="1" applyFont="1" applyFill="1" applyBorder="1" applyAlignment="1">
      <alignment vertical="center" wrapText="1"/>
      <protection/>
    </xf>
    <xf numFmtId="9" fontId="4" fillId="0" borderId="17" xfId="59" applyNumberFormat="1" applyFont="1" applyFill="1" applyBorder="1" applyAlignment="1">
      <alignment vertical="center" wrapText="1"/>
      <protection/>
    </xf>
    <xf numFmtId="0" fontId="15" fillId="0" borderId="0" xfId="59" applyFont="1" applyFill="1" applyAlignment="1">
      <alignment vertical="center" wrapText="1"/>
      <protection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3" fontId="82" fillId="0" borderId="0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3" fontId="97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97" fillId="0" borderId="12" xfId="0" applyNumberFormat="1" applyFont="1" applyBorder="1" applyAlignment="1">
      <alignment/>
    </xf>
    <xf numFmtId="3" fontId="97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82" fillId="0" borderId="12" xfId="0" applyFont="1" applyBorder="1" applyAlignment="1">
      <alignment/>
    </xf>
    <xf numFmtId="3" fontId="82" fillId="0" borderId="12" xfId="0" applyNumberFormat="1" applyFont="1" applyBorder="1" applyAlignment="1">
      <alignment/>
    </xf>
    <xf numFmtId="3" fontId="1" fillId="0" borderId="31" xfId="0" applyNumberFormat="1" applyFont="1" applyBorder="1" applyAlignment="1">
      <alignment horizontal="right" vertical="center" wrapText="1"/>
    </xf>
    <xf numFmtId="49" fontId="82" fillId="0" borderId="0" xfId="0" applyNumberFormat="1" applyFont="1" applyBorder="1" applyAlignment="1">
      <alignment horizontal="center" vertical="center"/>
    </xf>
    <xf numFmtId="49" fontId="82" fillId="0" borderId="0" xfId="0" applyNumberFormat="1" applyFont="1" applyBorder="1" applyAlignment="1">
      <alignment horizontal="left" vertical="center" wrapText="1"/>
    </xf>
    <xf numFmtId="3" fontId="82" fillId="0" borderId="0" xfId="0" applyNumberFormat="1" applyFont="1" applyFill="1" applyBorder="1" applyAlignment="1">
      <alignment horizontal="right" vertical="center" wrapText="1"/>
    </xf>
    <xf numFmtId="4" fontId="82" fillId="0" borderId="0" xfId="0" applyNumberFormat="1" applyFont="1" applyBorder="1" applyAlignment="1">
      <alignment horizontal="right" vertical="center" wrapText="1"/>
    </xf>
    <xf numFmtId="0" fontId="52" fillId="0" borderId="0" xfId="63" applyFont="1" applyBorder="1" applyAlignment="1">
      <alignment horizontal="left" vertical="center" wrapText="1"/>
      <protection/>
    </xf>
    <xf numFmtId="3" fontId="52" fillId="0" borderId="0" xfId="63" applyNumberFormat="1" applyFont="1" applyBorder="1" applyAlignment="1">
      <alignment horizontal="right" vertical="center" wrapText="1"/>
      <protection/>
    </xf>
    <xf numFmtId="0" fontId="107" fillId="0" borderId="0" xfId="63" applyFont="1" applyBorder="1" applyAlignment="1">
      <alignment horizontal="left" vertical="center" wrapText="1"/>
      <protection/>
    </xf>
    <xf numFmtId="0" fontId="62" fillId="0" borderId="0" xfId="63" applyFont="1" applyBorder="1">
      <alignment/>
      <protection/>
    </xf>
    <xf numFmtId="3" fontId="54" fillId="0" borderId="0" xfId="63" applyNumberFormat="1" applyFont="1" applyBorder="1">
      <alignment/>
      <protection/>
    </xf>
    <xf numFmtId="0" fontId="53" fillId="0" borderId="0" xfId="63" applyFont="1" applyBorder="1">
      <alignment/>
      <protection/>
    </xf>
    <xf numFmtId="0" fontId="58" fillId="0" borderId="0" xfId="63" applyFont="1" applyBorder="1">
      <alignment/>
      <protection/>
    </xf>
    <xf numFmtId="3" fontId="56" fillId="0" borderId="0" xfId="63" applyNumberFormat="1" applyFont="1" applyBorder="1">
      <alignment/>
      <protection/>
    </xf>
    <xf numFmtId="178" fontId="56" fillId="0" borderId="0" xfId="63" applyNumberFormat="1" applyFont="1" applyBorder="1">
      <alignment/>
      <protection/>
    </xf>
    <xf numFmtId="3" fontId="58" fillId="0" borderId="0" xfId="63" applyNumberFormat="1" applyFont="1" applyBorder="1">
      <alignment/>
      <protection/>
    </xf>
    <xf numFmtId="0" fontId="113" fillId="0" borderId="13" xfId="0" applyFont="1" applyBorder="1" applyAlignment="1">
      <alignment vertical="center"/>
    </xf>
    <xf numFmtId="0" fontId="11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justify" vertical="center"/>
    </xf>
    <xf numFmtId="3" fontId="4" fillId="0" borderId="14" xfId="0" applyNumberFormat="1" applyFont="1" applyBorder="1" applyAlignment="1">
      <alignment vertical="center"/>
    </xf>
    <xf numFmtId="0" fontId="113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3" fontId="12" fillId="0" borderId="32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115" fillId="0" borderId="0" xfId="0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17" fillId="0" borderId="3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17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17" fillId="0" borderId="14" xfId="0" applyNumberFormat="1" applyFont="1" applyFill="1" applyBorder="1" applyAlignment="1">
      <alignment horizontal="right" vertical="center"/>
    </xf>
    <xf numFmtId="49" fontId="112" fillId="0" borderId="14" xfId="0" applyNumberFormat="1" applyFont="1" applyFill="1" applyBorder="1" applyAlignment="1">
      <alignment horizontal="center" vertical="center"/>
    </xf>
    <xf numFmtId="49" fontId="112" fillId="0" borderId="14" xfId="0" applyNumberFormat="1" applyFont="1" applyFill="1" applyBorder="1" applyAlignment="1">
      <alignment horizontal="left" vertical="center"/>
    </xf>
    <xf numFmtId="3" fontId="112" fillId="0" borderId="14" xfId="0" applyNumberFormat="1" applyFont="1" applyFill="1" applyBorder="1" applyAlignment="1">
      <alignment horizontal="right" vertical="center"/>
    </xf>
    <xf numFmtId="3" fontId="118" fillId="0" borderId="14" xfId="0" applyNumberFormat="1" applyFont="1" applyFill="1" applyBorder="1" applyAlignment="1">
      <alignment horizontal="right" vertical="center"/>
    </xf>
    <xf numFmtId="0" fontId="112" fillId="0" borderId="0" xfId="0" applyFont="1" applyFill="1" applyAlignment="1">
      <alignment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116" fillId="0" borderId="14" xfId="0" applyNumberFormat="1" applyFont="1" applyFill="1" applyBorder="1" applyAlignment="1">
      <alignment horizontal="right" vertical="center"/>
    </xf>
    <xf numFmtId="3" fontId="0" fillId="0" borderId="29" xfId="0" applyNumberForma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119" fillId="0" borderId="14" xfId="0" applyNumberFormat="1" applyFon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left" vertical="center"/>
    </xf>
    <xf numFmtId="3" fontId="24" fillId="0" borderId="14" xfId="0" applyNumberFormat="1" applyFont="1" applyFill="1" applyBorder="1" applyAlignment="1">
      <alignment horizontal="right" vertical="center"/>
    </xf>
    <xf numFmtId="3" fontId="120" fillId="0" borderId="14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3" fontId="121" fillId="0" borderId="14" xfId="0" applyNumberFormat="1" applyFont="1" applyFill="1" applyBorder="1" applyAlignment="1">
      <alignment horizontal="right" vertical="center"/>
    </xf>
    <xf numFmtId="49" fontId="0" fillId="0" borderId="34" xfId="0" applyNumberFormat="1" applyFill="1" applyBorder="1" applyAlignment="1">
      <alignment horizontal="left" vertical="center"/>
    </xf>
    <xf numFmtId="3" fontId="0" fillId="0" borderId="28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116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8" fontId="25" fillId="0" borderId="0" xfId="42" applyNumberFormat="1" applyFont="1" applyFill="1" applyBorder="1" applyAlignment="1">
      <alignment/>
    </xf>
    <xf numFmtId="0" fontId="116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3" fontId="0" fillId="0" borderId="16" xfId="0" applyNumberFormat="1" applyFill="1" applyBorder="1" applyAlignment="1">
      <alignment horizontal="right" vertical="center"/>
    </xf>
    <xf numFmtId="0" fontId="92" fillId="0" borderId="0" xfId="0" applyFont="1" applyFill="1" applyAlignment="1">
      <alignment horizontal="left"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69" fillId="0" borderId="0" xfId="0" applyFont="1" applyFill="1" applyAlignment="1">
      <alignment horizontal="centerContinuous" vertical="center"/>
    </xf>
    <xf numFmtId="0" fontId="100" fillId="0" borderId="0" xfId="0" applyFont="1" applyFill="1" applyAlignment="1">
      <alignment horizontal="centerContinuous"/>
    </xf>
    <xf numFmtId="0" fontId="69" fillId="0" borderId="0" xfId="0" applyFont="1" applyFill="1" applyAlignment="1">
      <alignment horizontal="centerContinuous"/>
    </xf>
    <xf numFmtId="3" fontId="69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 quotePrefix="1">
      <alignment horizontal="center"/>
    </xf>
    <xf numFmtId="0" fontId="7" fillId="0" borderId="37" xfId="0" applyFont="1" applyFill="1" applyBorder="1" applyAlignment="1">
      <alignment horizontal="center"/>
    </xf>
    <xf numFmtId="0" fontId="19" fillId="0" borderId="0" xfId="63" applyFont="1" applyFill="1" applyAlignment="1">
      <alignment horizontal="centerContinuous"/>
      <protection/>
    </xf>
    <xf numFmtId="0" fontId="15" fillId="0" borderId="0" xfId="62" applyFont="1" applyFill="1" applyAlignment="1">
      <alignment horizontal="center"/>
      <protection/>
    </xf>
    <xf numFmtId="0" fontId="79" fillId="0" borderId="0" xfId="62" applyFont="1" applyFill="1">
      <alignment/>
      <protection/>
    </xf>
    <xf numFmtId="0" fontId="15" fillId="0" borderId="0" xfId="63" applyFont="1" applyFill="1" applyAlignment="1">
      <alignment horizontal="centerContinuous"/>
      <protection/>
    </xf>
    <xf numFmtId="178" fontId="23" fillId="0" borderId="0" xfId="42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59" fillId="0" borderId="0" xfId="0" applyNumberFormat="1" applyFont="1" applyFill="1" applyAlignment="1">
      <alignment/>
    </xf>
    <xf numFmtId="178" fontId="59" fillId="0" borderId="0" xfId="0" applyNumberFormat="1" applyFont="1" applyFill="1" applyAlignment="1">
      <alignment/>
    </xf>
    <xf numFmtId="3" fontId="15" fillId="0" borderId="16" xfId="42" applyNumberFormat="1" applyFont="1" applyFill="1" applyBorder="1" applyAlignment="1">
      <alignment horizontal="center"/>
    </xf>
    <xf numFmtId="3" fontId="53" fillId="0" borderId="0" xfId="63" applyNumberFormat="1" applyFont="1" applyBorder="1" applyAlignment="1">
      <alignment horizontal="center"/>
      <protection/>
    </xf>
    <xf numFmtId="3" fontId="8" fillId="0" borderId="13" xfId="63" applyNumberFormat="1" applyFont="1" applyBorder="1">
      <alignment/>
      <protection/>
    </xf>
    <xf numFmtId="3" fontId="9" fillId="0" borderId="13" xfId="63" applyNumberFormat="1" applyFont="1" applyBorder="1">
      <alignment/>
      <protection/>
    </xf>
    <xf numFmtId="3" fontId="52" fillId="0" borderId="13" xfId="63" applyNumberFormat="1" applyFont="1" applyBorder="1">
      <alignment/>
      <protection/>
    </xf>
    <xf numFmtId="3" fontId="9" fillId="0" borderId="14" xfId="63" applyNumberFormat="1" applyFont="1" applyBorder="1">
      <alignment/>
      <protection/>
    </xf>
    <xf numFmtId="3" fontId="8" fillId="0" borderId="14" xfId="63" applyNumberFormat="1" applyFont="1" applyBorder="1">
      <alignment/>
      <protection/>
    </xf>
    <xf numFmtId="3" fontId="23" fillId="0" borderId="14" xfId="63" applyNumberFormat="1" applyFont="1" applyFill="1" applyBorder="1" applyAlignment="1">
      <alignment horizontal="right"/>
      <protection/>
    </xf>
    <xf numFmtId="3" fontId="63" fillId="0" borderId="14" xfId="63" applyNumberFormat="1" applyFont="1" applyBorder="1">
      <alignment/>
      <protection/>
    </xf>
    <xf numFmtId="3" fontId="56" fillId="0" borderId="14" xfId="63" applyNumberFormat="1" applyFont="1" applyBorder="1">
      <alignment/>
      <protection/>
    </xf>
    <xf numFmtId="0" fontId="9" fillId="0" borderId="17" xfId="63" applyFont="1" applyBorder="1">
      <alignment/>
      <protection/>
    </xf>
    <xf numFmtId="3" fontId="9" fillId="0" borderId="17" xfId="63" applyNumberFormat="1" applyFont="1" applyBorder="1">
      <alignment/>
      <protection/>
    </xf>
    <xf numFmtId="3" fontId="9" fillId="0" borderId="14" xfId="63" applyNumberFormat="1" applyFont="1" applyFill="1" applyBorder="1" applyAlignment="1">
      <alignment horizontal="right"/>
      <protection/>
    </xf>
    <xf numFmtId="3" fontId="103" fillId="0" borderId="0" xfId="0" applyNumberFormat="1" applyFont="1" applyAlignment="1">
      <alignment/>
    </xf>
    <xf numFmtId="0" fontId="15" fillId="0" borderId="36" xfId="0" applyFont="1" applyBorder="1" applyAlignment="1">
      <alignment horizontal="center"/>
    </xf>
    <xf numFmtId="0" fontId="15" fillId="0" borderId="38" xfId="0" applyFont="1" applyBorder="1" applyAlignment="1">
      <alignment/>
    </xf>
    <xf numFmtId="3" fontId="15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0" fontId="15" fillId="0" borderId="39" xfId="0" applyFont="1" applyBorder="1" applyAlignment="1">
      <alignment/>
    </xf>
    <xf numFmtId="3" fontId="15" fillId="0" borderId="39" xfId="0" applyNumberFormat="1" applyFont="1" applyBorder="1" applyAlignment="1">
      <alignment/>
    </xf>
    <xf numFmtId="0" fontId="0" fillId="0" borderId="39" xfId="0" applyBorder="1" applyAlignment="1">
      <alignment/>
    </xf>
    <xf numFmtId="0" fontId="59" fillId="0" borderId="39" xfId="0" applyFont="1" applyBorder="1" applyAlignment="1">
      <alignment/>
    </xf>
    <xf numFmtId="3" fontId="103" fillId="0" borderId="39" xfId="0" applyNumberFormat="1" applyFont="1" applyBorder="1" applyAlignment="1">
      <alignment/>
    </xf>
    <xf numFmtId="3" fontId="59" fillId="0" borderId="3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59" fillId="0" borderId="41" xfId="0" applyFont="1" applyBorder="1" applyAlignment="1">
      <alignment/>
    </xf>
    <xf numFmtId="3" fontId="0" fillId="0" borderId="41" xfId="0" applyNumberFormat="1" applyBorder="1" applyAlignment="1">
      <alignment/>
    </xf>
    <xf numFmtId="3" fontId="59" fillId="0" borderId="41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82" fillId="0" borderId="27" xfId="0" applyNumberFormat="1" applyFont="1" applyBorder="1" applyAlignment="1">
      <alignment/>
    </xf>
    <xf numFmtId="178" fontId="9" fillId="0" borderId="13" xfId="42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9" fillId="0" borderId="14" xfId="42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178" fontId="9" fillId="0" borderId="17" xfId="42" applyNumberFormat="1" applyFont="1" applyFill="1" applyBorder="1" applyAlignment="1">
      <alignment vertical="center" wrapText="1"/>
    </xf>
    <xf numFmtId="178" fontId="9" fillId="0" borderId="17" xfId="42" applyNumberFormat="1" applyFont="1" applyFill="1" applyBorder="1" applyAlignment="1">
      <alignment wrapText="1"/>
    </xf>
    <xf numFmtId="178" fontId="9" fillId="0" borderId="18" xfId="42" applyNumberFormat="1" applyFont="1" applyFill="1" applyBorder="1" applyAlignment="1">
      <alignment vertical="center" wrapText="1"/>
    </xf>
    <xf numFmtId="0" fontId="7" fillId="0" borderId="12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8" fontId="9" fillId="0" borderId="19" xfId="42" applyNumberFormat="1" applyFont="1" applyFill="1" applyBorder="1" applyAlignment="1">
      <alignment vertical="center" wrapText="1"/>
    </xf>
    <xf numFmtId="178" fontId="52" fillId="0" borderId="12" xfId="42" applyNumberFormat="1" applyFont="1" applyFill="1" applyBorder="1" applyAlignment="1">
      <alignment vertical="center" wrapText="1"/>
    </xf>
    <xf numFmtId="4" fontId="23" fillId="0" borderId="42" xfId="0" applyNumberFormat="1" applyFont="1" applyBorder="1" applyAlignment="1">
      <alignment horizontal="right" vertical="center" wrapText="1"/>
    </xf>
    <xf numFmtId="3" fontId="23" fillId="0" borderId="43" xfId="0" applyNumberFormat="1" applyFont="1" applyBorder="1" applyAlignment="1">
      <alignment horizontal="right" vertical="center" wrapText="1"/>
    </xf>
    <xf numFmtId="49" fontId="23" fillId="25" borderId="27" xfId="0" applyNumberFormat="1" applyFont="1" applyFill="1" applyBorder="1" applyAlignment="1">
      <alignment horizontal="center" vertical="center"/>
    </xf>
    <xf numFmtId="49" fontId="23" fillId="25" borderId="27" xfId="0" applyNumberFormat="1" applyFont="1" applyFill="1" applyBorder="1" applyAlignment="1">
      <alignment horizontal="left" vertical="center" wrapText="1"/>
    </xf>
    <xf numFmtId="3" fontId="23" fillId="25" borderId="14" xfId="0" applyNumberFormat="1" applyFont="1" applyFill="1" applyBorder="1" applyAlignment="1">
      <alignment horizontal="right" vertical="center" wrapText="1"/>
    </xf>
    <xf numFmtId="3" fontId="23" fillId="25" borderId="27" xfId="0" applyNumberFormat="1" applyFont="1" applyFill="1" applyBorder="1" applyAlignment="1">
      <alignment horizontal="right" vertical="center" wrapText="1"/>
    </xf>
    <xf numFmtId="4" fontId="23" fillId="25" borderId="14" xfId="0" applyNumberFormat="1" applyFont="1" applyFill="1" applyBorder="1" applyAlignment="1">
      <alignment horizontal="right" vertical="center" wrapText="1"/>
    </xf>
    <xf numFmtId="0" fontId="23" fillId="25" borderId="0" xfId="0" applyFont="1" applyFill="1" applyAlignment="1">
      <alignment/>
    </xf>
    <xf numFmtId="3" fontId="94" fillId="25" borderId="14" xfId="0" applyNumberFormat="1" applyFont="1" applyFill="1" applyBorder="1" applyAlignment="1">
      <alignment horizontal="right" vertical="center" wrapText="1"/>
    </xf>
    <xf numFmtId="4" fontId="82" fillId="25" borderId="14" xfId="0" applyNumberFormat="1" applyFont="1" applyFill="1" applyBorder="1" applyAlignment="1">
      <alignment horizontal="right" vertical="center" wrapText="1"/>
    </xf>
    <xf numFmtId="49" fontId="94" fillId="25" borderId="27" xfId="0" applyNumberFormat="1" applyFont="1" applyFill="1" applyBorder="1" applyAlignment="1">
      <alignment horizontal="center" vertical="center"/>
    </xf>
    <xf numFmtId="49" fontId="94" fillId="25" borderId="27" xfId="0" applyNumberFormat="1" applyFont="1" applyFill="1" applyBorder="1" applyAlignment="1">
      <alignment horizontal="left" vertical="center" wrapText="1"/>
    </xf>
    <xf numFmtId="3" fontId="94" fillId="25" borderId="27" xfId="0" applyNumberFormat="1" applyFont="1" applyFill="1" applyBorder="1" applyAlignment="1">
      <alignment horizontal="right" vertical="center" wrapText="1"/>
    </xf>
    <xf numFmtId="4" fontId="94" fillId="25" borderId="14" xfId="0" applyNumberFormat="1" applyFont="1" applyFill="1" applyBorder="1" applyAlignment="1">
      <alignment horizontal="right" vertical="center" wrapText="1"/>
    </xf>
    <xf numFmtId="0" fontId="94" fillId="25" borderId="0" xfId="0" applyFont="1" applyFill="1" applyAlignment="1">
      <alignment/>
    </xf>
    <xf numFmtId="3" fontId="82" fillId="0" borderId="0" xfId="0" applyNumberFormat="1" applyFont="1" applyAlignment="1">
      <alignment/>
    </xf>
    <xf numFmtId="3" fontId="94" fillId="0" borderId="0" xfId="0" applyNumberFormat="1" applyFont="1" applyAlignment="1">
      <alignment/>
    </xf>
    <xf numFmtId="3" fontId="23" fillId="25" borderId="0" xfId="0" applyNumberFormat="1" applyFont="1" applyFill="1" applyAlignment="1">
      <alignment/>
    </xf>
    <xf numFmtId="3" fontId="94" fillId="25" borderId="0" xfId="0" applyNumberFormat="1" applyFont="1" applyFill="1" applyAlignment="1">
      <alignment/>
    </xf>
    <xf numFmtId="3" fontId="23" fillId="0" borderId="14" xfId="0" applyNumberFormat="1" applyFont="1" applyBorder="1" applyAlignment="1">
      <alignment horizontal="right" vertical="center"/>
    </xf>
    <xf numFmtId="3" fontId="23" fillId="0" borderId="17" xfId="0" applyNumberFormat="1" applyFont="1" applyBorder="1" applyAlignment="1">
      <alignment horizontal="right" vertical="center"/>
    </xf>
    <xf numFmtId="3" fontId="7" fillId="0" borderId="0" xfId="63" applyNumberFormat="1" applyFont="1" applyFill="1" applyBorder="1">
      <alignment/>
      <protection/>
    </xf>
    <xf numFmtId="3" fontId="9" fillId="0" borderId="0" xfId="63" applyNumberFormat="1" applyFont="1" applyFill="1" applyBorder="1">
      <alignment/>
      <protection/>
    </xf>
    <xf numFmtId="178" fontId="9" fillId="0" borderId="0" xfId="63" applyNumberFormat="1" applyFont="1" applyFill="1" applyBorder="1">
      <alignment/>
      <protection/>
    </xf>
    <xf numFmtId="3" fontId="122" fillId="0" borderId="0" xfId="0" applyNumberFormat="1" applyFont="1" applyAlignment="1">
      <alignment/>
    </xf>
    <xf numFmtId="3" fontId="9" fillId="26" borderId="14" xfId="0" applyNumberFormat="1" applyFont="1" applyFill="1" applyBorder="1" applyAlignment="1">
      <alignment vertical="center"/>
    </xf>
    <xf numFmtId="3" fontId="14" fillId="0" borderId="0" xfId="0" applyNumberFormat="1" applyFont="1" applyAlignment="1">
      <alignment/>
    </xf>
    <xf numFmtId="0" fontId="62" fillId="0" borderId="0" xfId="63" applyFont="1" applyBorder="1">
      <alignment/>
      <protection/>
    </xf>
    <xf numFmtId="0" fontId="132" fillId="0" borderId="0" xfId="0" applyFont="1" applyAlignment="1">
      <alignment/>
    </xf>
    <xf numFmtId="3" fontId="54" fillId="0" borderId="0" xfId="63" applyNumberFormat="1" applyFont="1" applyBorder="1">
      <alignment/>
      <protection/>
    </xf>
    <xf numFmtId="0" fontId="53" fillId="0" borderId="0" xfId="63" applyFont="1" applyBorder="1">
      <alignment/>
      <protection/>
    </xf>
    <xf numFmtId="0" fontId="58" fillId="0" borderId="0" xfId="63" applyFont="1" applyBorder="1">
      <alignment/>
      <protection/>
    </xf>
    <xf numFmtId="3" fontId="56" fillId="0" borderId="0" xfId="63" applyNumberFormat="1" applyFont="1" applyBorder="1">
      <alignment/>
      <protection/>
    </xf>
    <xf numFmtId="178" fontId="56" fillId="0" borderId="0" xfId="63" applyNumberFormat="1" applyFont="1" applyBorder="1">
      <alignment/>
      <protection/>
    </xf>
    <xf numFmtId="3" fontId="58" fillId="0" borderId="0" xfId="63" applyNumberFormat="1" applyFont="1" applyBorder="1">
      <alignment/>
      <protection/>
    </xf>
    <xf numFmtId="3" fontId="53" fillId="0" borderId="0" xfId="63" applyNumberFormat="1" applyFont="1" applyBorder="1" applyAlignment="1">
      <alignment horizontal="center"/>
      <protection/>
    </xf>
    <xf numFmtId="3" fontId="23" fillId="26" borderId="14" xfId="63" applyNumberFormat="1" applyFont="1" applyFill="1" applyBorder="1" applyAlignment="1">
      <alignment horizontal="right" vertical="center" wrapText="1"/>
      <protection/>
    </xf>
    <xf numFmtId="0" fontId="19" fillId="0" borderId="32" xfId="62" applyFont="1" applyBorder="1" applyAlignment="1">
      <alignment/>
      <protection/>
    </xf>
    <xf numFmtId="49" fontId="82" fillId="0" borderId="0" xfId="0" applyNumberFormat="1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>
      <alignment horizontal="left" vertical="center" wrapText="1"/>
    </xf>
    <xf numFmtId="3" fontId="82" fillId="0" borderId="44" xfId="0" applyNumberFormat="1" applyFont="1" applyFill="1" applyBorder="1" applyAlignment="1">
      <alignment horizontal="right" vertical="center" wrapText="1"/>
    </xf>
    <xf numFmtId="4" fontId="82" fillId="0" borderId="0" xfId="0" applyNumberFormat="1" applyFont="1" applyFill="1" applyBorder="1" applyAlignment="1">
      <alignment horizontal="right" vertical="center" wrapText="1"/>
    </xf>
    <xf numFmtId="0" fontId="59" fillId="0" borderId="0" xfId="63" applyFont="1" applyFill="1" applyBorder="1">
      <alignment/>
      <protection/>
    </xf>
    <xf numFmtId="3" fontId="8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/>
    </xf>
    <xf numFmtId="178" fontId="82" fillId="0" borderId="0" xfId="42" applyNumberFormat="1" applyFont="1" applyAlignment="1">
      <alignment vertical="center" wrapText="1"/>
    </xf>
    <xf numFmtId="0" fontId="82" fillId="0" borderId="0" xfId="0" applyFont="1" applyAlignment="1">
      <alignment vertical="center" wrapText="1"/>
    </xf>
    <xf numFmtId="178" fontId="94" fillId="0" borderId="0" xfId="42" applyNumberFormat="1" applyFont="1" applyAlignment="1">
      <alignment vertical="center" wrapText="1"/>
    </xf>
    <xf numFmtId="0" fontId="94" fillId="0" borderId="0" xfId="0" applyFont="1" applyAlignment="1">
      <alignment vertical="center" wrapText="1"/>
    </xf>
    <xf numFmtId="178" fontId="23" fillId="0" borderId="0" xfId="42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3" fontId="85" fillId="0" borderId="14" xfId="0" applyNumberFormat="1" applyFont="1" applyBorder="1" applyAlignment="1">
      <alignment horizontal="right" vertical="center"/>
    </xf>
    <xf numFmtId="178" fontId="85" fillId="0" borderId="0" xfId="42" applyNumberFormat="1" applyFont="1" applyAlignment="1">
      <alignment vertical="center" wrapText="1"/>
    </xf>
    <xf numFmtId="0" fontId="85" fillId="0" borderId="0" xfId="0" applyFont="1" applyAlignment="1">
      <alignment vertical="center" wrapText="1"/>
    </xf>
    <xf numFmtId="0" fontId="85" fillId="0" borderId="0" xfId="63" applyFont="1" applyFill="1" applyBorder="1" applyAlignment="1">
      <alignment/>
      <protection/>
    </xf>
    <xf numFmtId="3" fontId="82" fillId="0" borderId="0" xfId="63" applyNumberFormat="1" applyFont="1" applyFill="1" applyBorder="1">
      <alignment/>
      <protection/>
    </xf>
    <xf numFmtId="0" fontId="82" fillId="0" borderId="0" xfId="63" applyFont="1" applyFill="1" applyBorder="1" applyAlignment="1">
      <alignment/>
      <protection/>
    </xf>
    <xf numFmtId="0" fontId="23" fillId="0" borderId="0" xfId="63" applyFont="1" applyFill="1" applyBorder="1" applyAlignment="1">
      <alignment horizontal="left"/>
      <protection/>
    </xf>
    <xf numFmtId="3" fontId="23" fillId="0" borderId="0" xfId="63" applyNumberFormat="1" applyFont="1" applyFill="1" applyBorder="1">
      <alignment/>
      <protection/>
    </xf>
    <xf numFmtId="178" fontId="23" fillId="0" borderId="0" xfId="63" applyNumberFormat="1" applyFont="1" applyFill="1" applyBorder="1">
      <alignment/>
      <protection/>
    </xf>
    <xf numFmtId="3" fontId="82" fillId="0" borderId="0" xfId="63" applyNumberFormat="1" applyFont="1" applyFill="1" applyBorder="1" applyAlignment="1">
      <alignment/>
      <protection/>
    </xf>
    <xf numFmtId="3" fontId="97" fillId="20" borderId="12" xfId="0" applyNumberFormat="1" applyFont="1" applyFill="1" applyBorder="1" applyAlignment="1">
      <alignment horizontal="center" vertical="center" wrapText="1"/>
    </xf>
    <xf numFmtId="178" fontId="97" fillId="0" borderId="0" xfId="42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49" fontId="97" fillId="0" borderId="12" xfId="0" applyNumberFormat="1" applyFont="1" applyFill="1" applyBorder="1" applyAlignment="1">
      <alignment horizontal="center" vertical="center" wrapText="1"/>
    </xf>
    <xf numFmtId="0" fontId="97" fillId="20" borderId="33" xfId="0" applyFont="1" applyFill="1" applyBorder="1" applyAlignment="1">
      <alignment horizontal="center" vertical="center" wrapText="1"/>
    </xf>
    <xf numFmtId="3" fontId="97" fillId="20" borderId="31" xfId="0" applyNumberFormat="1" applyFont="1" applyFill="1" applyBorder="1" applyAlignment="1">
      <alignment horizontal="center" vertical="center" wrapText="1"/>
    </xf>
    <xf numFmtId="178" fontId="3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3" fontId="82" fillId="0" borderId="0" xfId="0" applyNumberFormat="1" applyFont="1" applyBorder="1" applyAlignment="1">
      <alignment horizontal="right" vertical="center"/>
    </xf>
    <xf numFmtId="178" fontId="23" fillId="0" borderId="0" xfId="42" applyNumberFormat="1" applyFont="1" applyAlignment="1">
      <alignment/>
    </xf>
    <xf numFmtId="49" fontId="8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15" xfId="0" applyNumberFormat="1" applyFont="1" applyFill="1" applyBorder="1" applyAlignment="1">
      <alignment horizontal="right" vertical="center"/>
    </xf>
    <xf numFmtId="3" fontId="99" fillId="0" borderId="15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29" xfId="0" applyNumberFormat="1" applyFont="1" applyFill="1" applyBorder="1" applyAlignment="1">
      <alignment horizontal="right" vertical="center"/>
    </xf>
    <xf numFmtId="178" fontId="23" fillId="0" borderId="0" xfId="0" applyNumberFormat="1" applyFont="1" applyAlignment="1">
      <alignment/>
    </xf>
    <xf numFmtId="178" fontId="82" fillId="0" borderId="0" xfId="42" applyNumberFormat="1" applyFont="1" applyAlignment="1">
      <alignment/>
    </xf>
    <xf numFmtId="178" fontId="23" fillId="0" borderId="0" xfId="42" applyNumberFormat="1" applyFont="1" applyBorder="1" applyAlignment="1">
      <alignment/>
    </xf>
    <xf numFmtId="49" fontId="23" fillId="0" borderId="32" xfId="0" applyNumberFormat="1" applyFont="1" applyFill="1" applyBorder="1" applyAlignment="1">
      <alignment horizontal="center" vertical="center"/>
    </xf>
    <xf numFmtId="49" fontId="23" fillId="0" borderId="32" xfId="0" applyNumberFormat="1" applyFont="1" applyBorder="1" applyAlignment="1">
      <alignment horizontal="left" vertical="center"/>
    </xf>
    <xf numFmtId="3" fontId="23" fillId="0" borderId="32" xfId="0" applyNumberFormat="1" applyFont="1" applyBorder="1" applyAlignment="1">
      <alignment horizontal="right" vertical="center"/>
    </xf>
    <xf numFmtId="49" fontId="82" fillId="0" borderId="0" xfId="0" applyNumberFormat="1" applyFont="1" applyBorder="1" applyAlignment="1">
      <alignment horizontal="left" vertical="center"/>
    </xf>
    <xf numFmtId="49" fontId="23" fillId="0" borderId="16" xfId="0" applyNumberFormat="1" applyFont="1" applyFill="1" applyBorder="1" applyAlignment="1">
      <alignment horizontal="center" vertical="center"/>
    </xf>
    <xf numFmtId="3" fontId="23" fillId="0" borderId="29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49" fontId="123" fillId="0" borderId="13" xfId="0" applyNumberFormat="1" applyFont="1" applyFill="1" applyBorder="1" applyAlignment="1">
      <alignment horizontal="center" vertical="center" wrapText="1"/>
    </xf>
    <xf numFmtId="49" fontId="123" fillId="0" borderId="13" xfId="0" applyNumberFormat="1" applyFont="1" applyBorder="1" applyAlignment="1">
      <alignment horizontal="left" vertical="center" wrapText="1"/>
    </xf>
    <xf numFmtId="49" fontId="123" fillId="0" borderId="14" xfId="0" applyNumberFormat="1" applyFont="1" applyFill="1" applyBorder="1" applyAlignment="1">
      <alignment horizontal="center" vertical="center" wrapText="1"/>
    </xf>
    <xf numFmtId="49" fontId="123" fillId="0" borderId="14" xfId="0" applyNumberFormat="1" applyFont="1" applyBorder="1" applyAlignment="1">
      <alignment horizontal="left" vertical="center" wrapText="1"/>
    </xf>
    <xf numFmtId="49" fontId="124" fillId="0" borderId="14" xfId="0" applyNumberFormat="1" applyFont="1" applyFill="1" applyBorder="1" applyAlignment="1">
      <alignment horizontal="center" vertical="center" wrapText="1"/>
    </xf>
    <xf numFmtId="49" fontId="124" fillId="0" borderId="14" xfId="0" applyNumberFormat="1" applyFont="1" applyBorder="1" applyAlignment="1">
      <alignment horizontal="left" vertical="center" wrapText="1"/>
    </xf>
    <xf numFmtId="49" fontId="125" fillId="0" borderId="14" xfId="0" applyNumberFormat="1" applyFont="1" applyFill="1" applyBorder="1" applyAlignment="1">
      <alignment horizontal="center" vertical="center" wrapText="1"/>
    </xf>
    <xf numFmtId="49" fontId="125" fillId="0" borderId="14" xfId="0" applyNumberFormat="1" applyFont="1" applyBorder="1" applyAlignment="1">
      <alignment horizontal="left" vertical="center" wrapText="1"/>
    </xf>
    <xf numFmtId="49" fontId="126" fillId="0" borderId="14" xfId="0" applyNumberFormat="1" applyFont="1" applyFill="1" applyBorder="1" applyAlignment="1">
      <alignment horizontal="center" vertical="center" wrapText="1"/>
    </xf>
    <xf numFmtId="49" fontId="126" fillId="0" borderId="14" xfId="0" applyNumberFormat="1" applyFont="1" applyBorder="1" applyAlignment="1">
      <alignment horizontal="left" vertical="center" wrapText="1"/>
    </xf>
    <xf numFmtId="0" fontId="127" fillId="0" borderId="0" xfId="0" applyFont="1" applyBorder="1" applyAlignment="1">
      <alignment/>
    </xf>
    <xf numFmtId="0" fontId="22" fillId="0" borderId="0" xfId="0" applyFont="1" applyAlignment="1">
      <alignment/>
    </xf>
    <xf numFmtId="0" fontId="92" fillId="0" borderId="0" xfId="0" applyFont="1" applyAlignment="1">
      <alignment/>
    </xf>
    <xf numFmtId="3" fontId="4" fillId="0" borderId="0" xfId="0" applyNumberFormat="1" applyFont="1" applyAlignment="1">
      <alignment/>
    </xf>
    <xf numFmtId="3" fontId="59" fillId="0" borderId="0" xfId="0" applyNumberFormat="1" applyFont="1" applyBorder="1" applyAlignment="1">
      <alignment/>
    </xf>
    <xf numFmtId="0" fontId="82" fillId="0" borderId="12" xfId="0" applyFont="1" applyBorder="1" applyAlignment="1">
      <alignment horizontal="center" vertical="center" wrapText="1"/>
    </xf>
    <xf numFmtId="0" fontId="129" fillId="0" borderId="0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85" fillId="0" borderId="12" xfId="0" applyFont="1" applyBorder="1" applyAlignment="1">
      <alignment horizontal="center" vertical="top" wrapText="1"/>
    </xf>
    <xf numFmtId="0" fontId="130" fillId="0" borderId="0" xfId="0" applyFont="1" applyBorder="1" applyAlignment="1">
      <alignment/>
    </xf>
    <xf numFmtId="0" fontId="23" fillId="0" borderId="0" xfId="0" applyFont="1" applyBorder="1" applyAlignment="1">
      <alignment horizontal="justify"/>
    </xf>
    <xf numFmtId="3" fontId="23" fillId="0" borderId="0" xfId="0" applyNumberFormat="1" applyFont="1" applyBorder="1" applyAlignment="1">
      <alignment vertical="top" wrapText="1"/>
    </xf>
    <xf numFmtId="3" fontId="23" fillId="0" borderId="0" xfId="0" applyNumberFormat="1" applyFont="1" applyBorder="1" applyAlignment="1">
      <alignment/>
    </xf>
    <xf numFmtId="0" fontId="127" fillId="0" borderId="0" xfId="0" applyFont="1" applyAlignment="1">
      <alignment/>
    </xf>
    <xf numFmtId="0" fontId="131" fillId="0" borderId="0" xfId="0" applyFont="1" applyAlignment="1">
      <alignment/>
    </xf>
    <xf numFmtId="0" fontId="22" fillId="0" borderId="0" xfId="0" applyFont="1" applyBorder="1" applyAlignment="1">
      <alignment/>
    </xf>
    <xf numFmtId="0" fontId="92" fillId="0" borderId="0" xfId="0" applyFont="1" applyBorder="1" applyAlignment="1">
      <alignment horizontal="center"/>
    </xf>
    <xf numFmtId="0" fontId="59" fillId="0" borderId="0" xfId="0" applyFont="1" applyBorder="1" applyAlignment="1">
      <alignment horizontal="justify"/>
    </xf>
    <xf numFmtId="0" fontId="131" fillId="0" borderId="0" xfId="0" applyFont="1" applyBorder="1" applyAlignment="1">
      <alignment/>
    </xf>
    <xf numFmtId="0" fontId="128" fillId="0" borderId="0" xfId="0" applyFont="1" applyAlignment="1">
      <alignment horizontal="left"/>
    </xf>
    <xf numFmtId="0" fontId="130" fillId="0" borderId="12" xfId="0" applyFont="1" applyBorder="1" applyAlignment="1">
      <alignment/>
    </xf>
    <xf numFmtId="0" fontId="82" fillId="0" borderId="12" xfId="0" applyFont="1" applyBorder="1" applyAlignment="1">
      <alignment horizontal="center"/>
    </xf>
    <xf numFmtId="0" fontId="82" fillId="0" borderId="12" xfId="0" applyFont="1" applyBorder="1" applyAlignment="1">
      <alignment horizontal="center" vertical="top" wrapText="1"/>
    </xf>
    <xf numFmtId="3" fontId="82" fillId="0" borderId="12" xfId="0" applyNumberFormat="1" applyFont="1" applyBorder="1" applyAlignment="1">
      <alignment horizontal="center" vertical="top" wrapText="1"/>
    </xf>
    <xf numFmtId="3" fontId="82" fillId="0" borderId="12" xfId="0" applyNumberFormat="1" applyFont="1" applyBorder="1" applyAlignment="1">
      <alignment vertical="top" wrapText="1"/>
    </xf>
    <xf numFmtId="3" fontId="129" fillId="0" borderId="12" xfId="0" applyNumberFormat="1" applyFont="1" applyBorder="1" applyAlignment="1">
      <alignment/>
    </xf>
    <xf numFmtId="0" fontId="23" fillId="0" borderId="12" xfId="0" applyFont="1" applyBorder="1" applyAlignment="1">
      <alignment vertical="top" wrapText="1"/>
    </xf>
    <xf numFmtId="3" fontId="23" fillId="0" borderId="12" xfId="0" applyNumberFormat="1" applyFont="1" applyBorder="1" applyAlignment="1">
      <alignment vertical="top" wrapText="1"/>
    </xf>
    <xf numFmtId="0" fontId="129" fillId="0" borderId="12" xfId="0" applyFont="1" applyBorder="1" applyAlignment="1">
      <alignment/>
    </xf>
    <xf numFmtId="0" fontId="128" fillId="0" borderId="0" xfId="0" applyFont="1" applyAlignment="1">
      <alignment/>
    </xf>
    <xf numFmtId="0" fontId="132" fillId="0" borderId="0" xfId="0" applyFont="1" applyAlignment="1">
      <alignment/>
    </xf>
    <xf numFmtId="178" fontId="132" fillId="0" borderId="0" xfId="42" applyNumberFormat="1" applyFont="1" applyAlignment="1">
      <alignment/>
    </xf>
    <xf numFmtId="3" fontId="19" fillId="0" borderId="0" xfId="0" applyNumberFormat="1" applyFont="1" applyAlignment="1">
      <alignment horizontal="left"/>
    </xf>
    <xf numFmtId="3" fontId="15" fillId="0" borderId="14" xfId="0" applyNumberFormat="1" applyFont="1" applyFill="1" applyBorder="1" applyAlignment="1">
      <alignment horizontal="right" vertical="center" wrapText="1"/>
    </xf>
    <xf numFmtId="178" fontId="94" fillId="0" borderId="0" xfId="42" applyNumberFormat="1" applyFont="1" applyAlignment="1">
      <alignment/>
    </xf>
    <xf numFmtId="4" fontId="15" fillId="0" borderId="17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46" fillId="0" borderId="0" xfId="63" applyFont="1" applyAlignment="1">
      <alignment horizontal="center" wrapText="1"/>
      <protection/>
    </xf>
    <xf numFmtId="0" fontId="7" fillId="0" borderId="12" xfId="0" applyFont="1" applyBorder="1" applyAlignment="1">
      <alignment horizontal="center" vertical="center" wrapText="1"/>
    </xf>
    <xf numFmtId="3" fontId="114" fillId="0" borderId="0" xfId="0" applyNumberFormat="1" applyFont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3" fontId="1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3" fontId="6" fillId="0" borderId="15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82" fillId="20" borderId="36" xfId="0" applyNumberFormat="1" applyFont="1" applyFill="1" applyBorder="1" applyAlignment="1">
      <alignment horizontal="center" vertical="center" wrapText="1"/>
    </xf>
    <xf numFmtId="49" fontId="82" fillId="20" borderId="20" xfId="0" applyNumberFormat="1" applyFont="1" applyFill="1" applyBorder="1" applyAlignment="1">
      <alignment horizontal="center" vertical="center" wrapText="1"/>
    </xf>
    <xf numFmtId="0" fontId="82" fillId="20" borderId="12" xfId="0" applyFont="1" applyFill="1" applyBorder="1" applyAlignment="1">
      <alignment horizontal="center" vertical="center" wrapText="1"/>
    </xf>
    <xf numFmtId="3" fontId="82" fillId="20" borderId="12" xfId="0" applyNumberFormat="1" applyFont="1" applyFill="1" applyBorder="1" applyAlignment="1">
      <alignment horizontal="center" vertical="center" wrapText="1"/>
    </xf>
    <xf numFmtId="4" fontId="82" fillId="20" borderId="12" xfId="0" applyNumberFormat="1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/>
    </xf>
    <xf numFmtId="3" fontId="82" fillId="0" borderId="0" xfId="0" applyNumberFormat="1" applyFont="1" applyBorder="1" applyAlignment="1">
      <alignment horizontal="right" vertical="center" wrapText="1"/>
    </xf>
    <xf numFmtId="0" fontId="9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19" fillId="0" borderId="0" xfId="63" applyFont="1" applyFill="1" applyBorder="1" applyAlignment="1">
      <alignment horizontal="center"/>
      <protection/>
    </xf>
    <xf numFmtId="0" fontId="15" fillId="0" borderId="0" xfId="63" applyFont="1" applyFill="1" applyBorder="1" applyAlignment="1">
      <alignment horizontal="center"/>
      <protection/>
    </xf>
    <xf numFmtId="3" fontId="15" fillId="0" borderId="0" xfId="63" applyNumberFormat="1" applyFont="1" applyFill="1" applyBorder="1" applyAlignment="1">
      <alignment horizontal="center"/>
      <protection/>
    </xf>
    <xf numFmtId="0" fontId="19" fillId="0" borderId="0" xfId="63" applyFont="1" applyFill="1" applyBorder="1" applyAlignment="1">
      <alignment horizontal="left"/>
      <protection/>
    </xf>
    <xf numFmtId="3" fontId="82" fillId="0" borderId="0" xfId="0" applyNumberFormat="1" applyFont="1" applyBorder="1" applyAlignment="1">
      <alignment horizontal="right" vertical="center"/>
    </xf>
    <xf numFmtId="3" fontId="97" fillId="20" borderId="12" xfId="0" applyNumberFormat="1" applyFont="1" applyFill="1" applyBorder="1" applyAlignment="1">
      <alignment horizontal="center" vertical="center" wrapText="1"/>
    </xf>
    <xf numFmtId="0" fontId="85" fillId="0" borderId="0" xfId="63" applyFont="1" applyFill="1" applyBorder="1" applyAlignment="1">
      <alignment horizontal="left"/>
      <protection/>
    </xf>
    <xf numFmtId="3" fontId="82" fillId="0" borderId="0" xfId="63" applyNumberFormat="1" applyFont="1" applyFill="1" applyBorder="1" applyAlignment="1">
      <alignment horizontal="center"/>
      <protection/>
    </xf>
    <xf numFmtId="0" fontId="82" fillId="0" borderId="0" xfId="63" applyFont="1" applyFill="1" applyBorder="1" applyAlignment="1">
      <alignment horizontal="left"/>
      <protection/>
    </xf>
    <xf numFmtId="0" fontId="82" fillId="0" borderId="0" xfId="63" applyFont="1" applyFill="1" applyBorder="1" applyAlignment="1">
      <alignment horizontal="center"/>
      <protection/>
    </xf>
    <xf numFmtId="49" fontId="97" fillId="0" borderId="36" xfId="0" applyNumberFormat="1" applyFont="1" applyFill="1" applyBorder="1" applyAlignment="1">
      <alignment horizontal="center" vertical="center" wrapText="1"/>
    </xf>
    <xf numFmtId="49" fontId="97" fillId="0" borderId="20" xfId="0" applyNumberFormat="1" applyFont="1" applyFill="1" applyBorder="1" applyAlignment="1">
      <alignment horizontal="center" vertical="center" wrapText="1"/>
    </xf>
    <xf numFmtId="49" fontId="97" fillId="20" borderId="46" xfId="0" applyNumberFormat="1" applyFont="1" applyFill="1" applyBorder="1" applyAlignment="1">
      <alignment horizontal="center" vertical="center" wrapText="1"/>
    </xf>
    <xf numFmtId="49" fontId="97" fillId="20" borderId="47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0" fontId="108" fillId="0" borderId="0" xfId="0" applyFont="1" applyAlignment="1">
      <alignment horizontal="left" wrapText="1"/>
    </xf>
    <xf numFmtId="3" fontId="93" fillId="0" borderId="0" xfId="63" applyNumberFormat="1" applyFont="1" applyAlignment="1">
      <alignment horizontal="right"/>
      <protection/>
    </xf>
    <xf numFmtId="0" fontId="49" fillId="0" borderId="0" xfId="63" applyFont="1" applyAlignment="1">
      <alignment horizontal="center"/>
      <protection/>
    </xf>
    <xf numFmtId="0" fontId="48" fillId="0" borderId="15" xfId="63" applyFont="1" applyBorder="1" applyAlignment="1">
      <alignment horizontal="right"/>
      <protection/>
    </xf>
    <xf numFmtId="3" fontId="53" fillId="0" borderId="0" xfId="63" applyNumberFormat="1" applyFont="1" applyBorder="1" applyAlignment="1">
      <alignment horizontal="center"/>
      <protection/>
    </xf>
    <xf numFmtId="0" fontId="62" fillId="0" borderId="0" xfId="63" applyFont="1" applyBorder="1" applyAlignment="1">
      <alignment horizontal="center"/>
      <protection/>
    </xf>
    <xf numFmtId="0" fontId="53" fillId="0" borderId="0" xfId="63" applyFont="1" applyBorder="1" applyAlignment="1">
      <alignment horizontal="center"/>
      <protection/>
    </xf>
    <xf numFmtId="0" fontId="53" fillId="0" borderId="0" xfId="63" applyFont="1" applyBorder="1" applyAlignment="1">
      <alignment horizontal="center"/>
      <protection/>
    </xf>
    <xf numFmtId="0" fontId="62" fillId="0" borderId="0" xfId="63" applyFont="1" applyBorder="1" applyAlignment="1">
      <alignment horizontal="center"/>
      <protection/>
    </xf>
    <xf numFmtId="3" fontId="53" fillId="0" borderId="0" xfId="63" applyNumberFormat="1" applyFont="1" applyBorder="1" applyAlignment="1">
      <alignment horizontal="center"/>
      <protection/>
    </xf>
    <xf numFmtId="0" fontId="82" fillId="0" borderId="12" xfId="63" applyFont="1" applyBorder="1" applyAlignment="1">
      <alignment horizontal="center" vertical="center" wrapText="1"/>
      <protection/>
    </xf>
    <xf numFmtId="0" fontId="46" fillId="0" borderId="0" xfId="63" applyFont="1" applyAlignment="1">
      <alignment horizontal="left" wrapText="1"/>
      <protection/>
    </xf>
    <xf numFmtId="0" fontId="82" fillId="0" borderId="36" xfId="63" applyFont="1" applyBorder="1" applyAlignment="1">
      <alignment horizontal="center" vertical="center" wrapText="1"/>
      <protection/>
    </xf>
    <xf numFmtId="0" fontId="82" fillId="0" borderId="20" xfId="63" applyFont="1" applyBorder="1" applyAlignment="1">
      <alignment horizontal="center" vertical="center" wrapText="1"/>
      <protection/>
    </xf>
    <xf numFmtId="0" fontId="94" fillId="0" borderId="0" xfId="63" applyFont="1" applyAlignment="1">
      <alignment horizontal="right" vertical="center"/>
      <protection/>
    </xf>
    <xf numFmtId="0" fontId="19" fillId="0" borderId="15" xfId="63" applyFont="1" applyBorder="1" applyAlignment="1">
      <alignment horizontal="right"/>
      <protection/>
    </xf>
    <xf numFmtId="0" fontId="92" fillId="0" borderId="0" xfId="62" applyFont="1" applyAlignment="1">
      <alignment horizontal="center" vertical="center"/>
      <protection/>
    </xf>
    <xf numFmtId="0" fontId="19" fillId="0" borderId="32" xfId="62" applyFont="1" applyBorder="1" applyAlignment="1">
      <alignment horizontal="left"/>
      <protection/>
    </xf>
    <xf numFmtId="0" fontId="15" fillId="0" borderId="0" xfId="62" applyFont="1" applyAlignment="1">
      <alignment horizontal="center"/>
      <protection/>
    </xf>
    <xf numFmtId="0" fontId="94" fillId="0" borderId="0" xfId="62" applyFont="1" applyAlignment="1">
      <alignment horizontal="right" vertical="center"/>
      <protection/>
    </xf>
    <xf numFmtId="0" fontId="21" fillId="0" borderId="12" xfId="59" applyFont="1" applyFill="1" applyBorder="1" applyAlignment="1">
      <alignment horizontal="center" vertical="center" wrapText="1"/>
      <protection/>
    </xf>
    <xf numFmtId="0" fontId="53" fillId="0" borderId="0" xfId="62" applyFont="1" applyAlignment="1">
      <alignment horizontal="left" vertical="center" wrapText="1"/>
      <protection/>
    </xf>
    <xf numFmtId="0" fontId="15" fillId="0" borderId="12" xfId="59" applyFont="1" applyFill="1" applyBorder="1" applyAlignment="1">
      <alignment horizontal="center" vertical="center" wrapText="1"/>
      <protection/>
    </xf>
    <xf numFmtId="0" fontId="69" fillId="0" borderId="0" xfId="62" applyFont="1" applyAlignment="1">
      <alignment horizontal="center" vertical="center"/>
      <protection/>
    </xf>
    <xf numFmtId="0" fontId="15" fillId="0" borderId="4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97" fillId="0" borderId="0" xfId="0" applyFont="1" applyAlignment="1">
      <alignment horizontal="center"/>
    </xf>
    <xf numFmtId="3" fontId="97" fillId="0" borderId="12" xfId="0" applyNumberFormat="1" applyFont="1" applyBorder="1" applyAlignment="1">
      <alignment horizontal="center" vertical="center"/>
    </xf>
    <xf numFmtId="3" fontId="97" fillId="0" borderId="36" xfId="0" applyNumberFormat="1" applyFont="1" applyBorder="1" applyAlignment="1">
      <alignment horizontal="center" vertical="center"/>
    </xf>
    <xf numFmtId="3" fontId="97" fillId="0" borderId="20" xfId="0" applyNumberFormat="1" applyFont="1" applyBorder="1" applyAlignment="1">
      <alignment horizontal="center" vertical="center"/>
    </xf>
    <xf numFmtId="3" fontId="97" fillId="0" borderId="12" xfId="0" applyNumberFormat="1" applyFont="1" applyBorder="1" applyAlignment="1">
      <alignment horizont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9" fillId="0" borderId="0" xfId="62" applyFont="1" applyFill="1" applyBorder="1" applyAlignment="1">
      <alignment horizontal="left"/>
      <protection/>
    </xf>
    <xf numFmtId="0" fontId="7" fillId="0" borderId="4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right"/>
    </xf>
    <xf numFmtId="0" fontId="23" fillId="0" borderId="55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3" fontId="117" fillId="0" borderId="12" xfId="0" applyNumberFormat="1" applyFont="1" applyFill="1" applyBorder="1" applyAlignment="1">
      <alignment horizontal="center" vertical="center" wrapText="1"/>
    </xf>
    <xf numFmtId="0" fontId="128" fillId="0" borderId="0" xfId="0" applyFont="1" applyAlignment="1">
      <alignment horizontal="center"/>
    </xf>
    <xf numFmtId="0" fontId="82" fillId="0" borderId="12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hi NSTW NSDP 2002 - PL" xfId="59"/>
    <cellStyle name="Normal_PL6.35" xfId="60"/>
    <cellStyle name="Normal_Sheet1" xfId="61"/>
    <cellStyle name="Normal_Sheet2" xfId="62"/>
    <cellStyle name="Normal_Sheet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38100</xdr:rowOff>
    </xdr:from>
    <xdr:to>
      <xdr:col>0</xdr:col>
      <xdr:colOff>1628775</xdr:colOff>
      <xdr:row>1</xdr:row>
      <xdr:rowOff>38100</xdr:rowOff>
    </xdr:to>
    <xdr:sp>
      <xdr:nvSpPr>
        <xdr:cNvPr id="1" name="AutoShape 7"/>
        <xdr:cNvSpPr>
          <a:spLocks/>
        </xdr:cNvSpPr>
      </xdr:nvSpPr>
      <xdr:spPr>
        <a:xfrm>
          <a:off x="704850" y="228600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</xdr:row>
      <xdr:rowOff>0</xdr:rowOff>
    </xdr:from>
    <xdr:to>
      <xdr:col>7</xdr:col>
      <xdr:colOff>619125</xdr:colOff>
      <xdr:row>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5753100" y="40005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1.192.10\Sotaichinh\NGAN%20SACH\QUYET%20TOAN\2014\QTOAN%20CHI%202014%2025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NGAN%20SACH\QUYET%20TOAN\2014\Quyet%20toan%202014\TongQT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1.192.10\Sotaichinh\D.Quang\2015\CTMTQG\CTMT%20nam%202014-t&#250;%20a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1.192.10\Sotaichinh\D.Quang\2015\CTMTQG\ctmtqg%20dau%20t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1.192.10\Sotaichinh\NGAN%20SACH\QUYET%20TOAN\2014\Copy%20of%20QNS_PL8_BM03%202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1.192.10\Sotaichinh\NGAN%20SACH\QUYET%20TOAN\2014\Copy%20of%20QNS_PL8_BM02%2022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1.192.10\Sotaichinh\D.Quang\2015\TongQT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1.192.10\Sotaichinh\NGAN%20SACH\QUYET%20TOAN\2014\Copy%20of%20QNS_PL08_BM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1.192.10\Sotaichinh\NGAN%20SACH\QUYET%20TOAN\2014\Quyet%20toan%202014\TongQT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NGAN%20SACH\tong%20hop%20nguon\chuyen%20nguon%202015\Tong%20%20hop%20Chuyen%20nguo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08-B03"/>
      <sheetName val="Sheet3"/>
    </sheetNames>
    <sheetDataSet>
      <sheetData sheetId="0">
        <row r="19">
          <cell r="F19">
            <v>0</v>
          </cell>
          <cell r="G19">
            <v>0</v>
          </cell>
          <cell r="H19">
            <v>0</v>
          </cell>
        </row>
        <row r="21">
          <cell r="F21">
            <v>0</v>
          </cell>
          <cell r="G21">
            <v>0</v>
          </cell>
          <cell r="H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0</v>
          </cell>
          <cell r="H25">
            <v>0</v>
          </cell>
        </row>
        <row r="61">
          <cell r="F61">
            <v>0</v>
          </cell>
          <cell r="G61">
            <v>0</v>
          </cell>
          <cell r="H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</row>
        <row r="65">
          <cell r="H65">
            <v>0</v>
          </cell>
        </row>
        <row r="72">
          <cell r="G72">
            <v>0</v>
          </cell>
          <cell r="H72">
            <v>0</v>
          </cell>
        </row>
        <row r="76">
          <cell r="H76">
            <v>0</v>
          </cell>
        </row>
        <row r="77">
          <cell r="H7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08-B03"/>
      <sheetName val="PL08_B02"/>
      <sheetName val="HDND"/>
      <sheetName val="Sac Thue"/>
      <sheetName val="Can doi"/>
      <sheetName val="PL6.35"/>
      <sheetName val="PL6.41"/>
      <sheetName val="PL6.51"/>
      <sheetName val="chi tiết thuchi"/>
      <sheetName val="dong gop"/>
      <sheetName val="ctmt"/>
      <sheetName val="thu toan tinh"/>
    </sheetNames>
    <sheetDataSet>
      <sheetData sheetId="0">
        <row r="60">
          <cell r="F60">
            <v>645361976194</v>
          </cell>
          <cell r="G60">
            <v>240113856300</v>
          </cell>
          <cell r="H60">
            <v>78900126411</v>
          </cell>
        </row>
      </sheetData>
      <sheetData sheetId="2">
        <row r="10">
          <cell r="F10">
            <v>8803943409952</v>
          </cell>
        </row>
        <row r="11">
          <cell r="F11">
            <v>8484218773533</v>
          </cell>
        </row>
        <row r="12">
          <cell r="F12">
            <v>2418016558056</v>
          </cell>
        </row>
        <row r="13">
          <cell r="F13">
            <v>2147480908181</v>
          </cell>
        </row>
        <row r="14">
          <cell r="F14">
            <v>1959603001249</v>
          </cell>
        </row>
        <row r="15">
          <cell r="F15">
            <v>134886207605</v>
          </cell>
        </row>
        <row r="16">
          <cell r="F16">
            <v>148222315616</v>
          </cell>
        </row>
        <row r="17">
          <cell r="F17">
            <v>18963369051</v>
          </cell>
        </row>
        <row r="18">
          <cell r="F18">
            <v>498955898016</v>
          </cell>
        </row>
        <row r="19">
          <cell r="F19">
            <v>7116315312</v>
          </cell>
        </row>
        <row r="20">
          <cell r="F20">
            <v>108452574162</v>
          </cell>
        </row>
        <row r="22">
          <cell r="F22">
            <v>43752989640</v>
          </cell>
        </row>
        <row r="23">
          <cell r="F23">
            <v>498909406</v>
          </cell>
        </row>
        <row r="24">
          <cell r="F24">
            <v>37570488434</v>
          </cell>
        </row>
        <row r="25">
          <cell r="F25">
            <v>141303867178</v>
          </cell>
        </row>
        <row r="26">
          <cell r="F26">
            <v>20739054209</v>
          </cell>
        </row>
        <row r="27">
          <cell r="F27">
            <v>102001419239</v>
          </cell>
        </row>
        <row r="28">
          <cell r="F28">
            <v>18563393730</v>
          </cell>
        </row>
        <row r="29">
          <cell r="F29">
            <v>599652934660</v>
          </cell>
        </row>
        <row r="30">
          <cell r="F30">
            <v>87297918530</v>
          </cell>
        </row>
        <row r="31">
          <cell r="F31">
            <v>132929213639</v>
          </cell>
        </row>
        <row r="32">
          <cell r="F32">
            <v>187877906932</v>
          </cell>
        </row>
        <row r="33">
          <cell r="F33">
            <v>38727247845</v>
          </cell>
        </row>
        <row r="34">
          <cell r="F34">
            <v>3023742451</v>
          </cell>
        </row>
        <row r="35">
          <cell r="F35">
            <v>116227216747</v>
          </cell>
        </row>
        <row r="36">
          <cell r="F36">
            <v>29899699889</v>
          </cell>
        </row>
        <row r="37">
          <cell r="F37">
            <v>270535649875</v>
          </cell>
        </row>
        <row r="38">
          <cell r="F38">
            <v>4934490286621</v>
          </cell>
        </row>
        <row r="39">
          <cell r="F39">
            <v>1900788000000</v>
          </cell>
        </row>
        <row r="40">
          <cell r="F40">
            <v>3033702286621</v>
          </cell>
        </row>
        <row r="43">
          <cell r="F43">
            <v>110000000000</v>
          </cell>
        </row>
        <row r="44">
          <cell r="F44">
            <v>179067934429</v>
          </cell>
        </row>
        <row r="45">
          <cell r="F45">
            <v>1123055211680</v>
          </cell>
        </row>
        <row r="47">
          <cell r="F47">
            <v>700000</v>
          </cell>
        </row>
        <row r="48">
          <cell r="F48">
            <v>39312719166</v>
          </cell>
        </row>
        <row r="49">
          <cell r="F49">
            <v>216058699336</v>
          </cell>
        </row>
        <row r="50">
          <cell r="F50">
            <v>8268160074197</v>
          </cell>
        </row>
        <row r="51">
          <cell r="F51">
            <v>8050932968452</v>
          </cell>
        </row>
        <row r="52">
          <cell r="F52">
            <v>2119259196341</v>
          </cell>
        </row>
        <row r="53">
          <cell r="F53">
            <v>2118159196341</v>
          </cell>
        </row>
        <row r="54">
          <cell r="F54">
            <v>1100000000</v>
          </cell>
        </row>
        <row r="55">
          <cell r="F55">
            <v>70165000000</v>
          </cell>
        </row>
        <row r="56">
          <cell r="F56">
            <v>4896132813206</v>
          </cell>
        </row>
        <row r="57">
          <cell r="F57">
            <v>62693582424</v>
          </cell>
        </row>
        <row r="58">
          <cell r="F58">
            <v>601021666840</v>
          </cell>
        </row>
        <row r="59">
          <cell r="F59">
            <v>1958080655121</v>
          </cell>
        </row>
        <row r="60">
          <cell r="F60">
            <v>306357261813</v>
          </cell>
        </row>
        <row r="61">
          <cell r="F61">
            <v>74747448286</v>
          </cell>
        </row>
        <row r="62">
          <cell r="F62">
            <v>20809459900</v>
          </cell>
        </row>
        <row r="63">
          <cell r="F63">
            <v>34507165804</v>
          </cell>
        </row>
        <row r="64">
          <cell r="F64">
            <v>390627654742</v>
          </cell>
        </row>
        <row r="65">
          <cell r="F65">
            <v>1147201770840</v>
          </cell>
        </row>
        <row r="66">
          <cell r="F66">
            <v>136911698486</v>
          </cell>
        </row>
        <row r="67">
          <cell r="F67">
            <v>70537691199</v>
          </cell>
        </row>
        <row r="68">
          <cell r="F68">
            <v>92636757751</v>
          </cell>
        </row>
        <row r="69">
          <cell r="F69">
            <v>0</v>
          </cell>
        </row>
        <row r="70">
          <cell r="F70">
            <v>1000000000</v>
          </cell>
        </row>
        <row r="72">
          <cell r="F72">
            <v>964375958905</v>
          </cell>
        </row>
        <row r="73">
          <cell r="F73">
            <v>177914386579</v>
          </cell>
        </row>
        <row r="74">
          <cell r="F74">
            <v>38727247845</v>
          </cell>
        </row>
        <row r="75">
          <cell r="F75">
            <v>3023742451</v>
          </cell>
        </row>
        <row r="76">
          <cell r="F76">
            <v>111730756996</v>
          </cell>
        </row>
        <row r="77">
          <cell r="F77">
            <v>24432639287</v>
          </cell>
        </row>
        <row r="78">
          <cell r="F78">
            <v>0</v>
          </cell>
        </row>
        <row r="79">
          <cell r="F79">
            <v>39312719166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ự nghiệp"/>
    </sheetNames>
    <sheetDataSet>
      <sheetData sheetId="0">
        <row r="26">
          <cell r="F26">
            <v>25753000000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oCao"/>
      <sheetName val="03KBQT"/>
      <sheetName val="Sheet4"/>
      <sheetName val="Sheet1"/>
      <sheetName val="Sheet2"/>
      <sheetName val="Sheet3"/>
    </sheetNames>
    <sheetDataSet>
      <sheetData sheetId="0">
        <row r="49">
          <cell r="H49">
            <v>79651002986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08-B03"/>
      <sheetName val="Sheet3"/>
    </sheetNames>
    <sheetDataSet>
      <sheetData sheetId="0">
        <row r="35">
          <cell r="G35">
            <v>0</v>
          </cell>
          <cell r="H35">
            <v>0</v>
          </cell>
        </row>
        <row r="54">
          <cell r="G54">
            <v>0</v>
          </cell>
          <cell r="H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</row>
        <row r="59">
          <cell r="F59">
            <v>1000000000</v>
          </cell>
          <cell r="G59">
            <v>0</v>
          </cell>
          <cell r="H5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L08_B02"/>
      <sheetName val="Sac Thue"/>
      <sheetName val="Sheet3"/>
    </sheetNames>
    <sheetDataSet>
      <sheetData sheetId="1">
        <row r="35">
          <cell r="E35">
            <v>0</v>
          </cell>
        </row>
        <row r="67">
          <cell r="E6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L08-B03"/>
      <sheetName val="PL08_B02"/>
      <sheetName val="HDND"/>
      <sheetName val="Sac Thue"/>
      <sheetName val="Can doi"/>
      <sheetName val="PL6.35"/>
      <sheetName val="PL6.41"/>
      <sheetName val="CTMT"/>
      <sheetName val="PL6.51"/>
      <sheetName val="PL8.08"/>
      <sheetName val="chi tiết thuchi"/>
      <sheetName val="PL8.07"/>
    </sheetNames>
    <sheetDataSet>
      <sheetData sheetId="0">
        <row r="56">
          <cell r="H56">
            <v>0</v>
          </cell>
        </row>
        <row r="98">
          <cell r="H98">
            <v>0</v>
          </cell>
          <cell r="K98">
            <v>0</v>
          </cell>
        </row>
      </sheetData>
      <sheetData sheetId="2">
        <row r="61">
          <cell r="G6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6">
          <cell r="D436">
            <v>3070319000000</v>
          </cell>
        </row>
        <row r="437">
          <cell r="D437">
            <v>310335827108</v>
          </cell>
          <cell r="F437">
            <v>310335827108</v>
          </cell>
        </row>
        <row r="438">
          <cell r="D438">
            <v>9573124513</v>
          </cell>
          <cell r="F438">
            <v>9573124513</v>
          </cell>
        </row>
        <row r="439">
          <cell r="D439">
            <v>223845000000</v>
          </cell>
        </row>
        <row r="440">
          <cell r="D440">
            <v>1329860925000</v>
          </cell>
        </row>
        <row r="441">
          <cell r="D441">
            <v>183410000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08-B03"/>
      <sheetName val="PL08_B02"/>
      <sheetName val="HDND"/>
      <sheetName val="Sac Thue"/>
      <sheetName val="Can doi"/>
      <sheetName val="PL6.35"/>
      <sheetName val="PL6.41"/>
      <sheetName val="PL6.51"/>
      <sheetName val="chi tiết thuchi"/>
      <sheetName val="dong gop"/>
      <sheetName val="ctmt"/>
      <sheetName val="thu toan tinh"/>
    </sheetNames>
    <sheetDataSet>
      <sheetData sheetId="7">
        <row r="14">
          <cell r="J14">
            <v>531000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531000</v>
          </cell>
        </row>
        <row r="22">
          <cell r="J22">
            <v>120890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120890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HOP"/>
      <sheetName val="ĐPHUONG"/>
      <sheetName val="TW"/>
      <sheetName val="tạm ứng"/>
      <sheetName val="TRINH CN dot 1"/>
      <sheetName val="CN DOT 1"/>
      <sheetName val="DOT 2"/>
      <sheetName val="DOT 3"/>
      <sheetName val="DOT 4"/>
      <sheetName val="dot 5"/>
      <sheetName val="Sheet1"/>
      <sheetName val="THCN"/>
    </sheetNames>
    <sheetDataSet>
      <sheetData sheetId="11">
        <row r="40">
          <cell r="D40">
            <v>52917000000</v>
          </cell>
        </row>
        <row r="45">
          <cell r="D45">
            <v>18276000000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pane xSplit="2" ySplit="15" topLeftCell="D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F69" sqref="F69"/>
    </sheetView>
  </sheetViews>
  <sheetFormatPr defaultColWidth="9.140625" defaultRowHeight="12.75"/>
  <cols>
    <col min="1" max="1" width="6.00390625" style="422" customWidth="1"/>
    <col min="2" max="2" width="32.57421875" style="423" customWidth="1"/>
    <col min="3" max="4" width="16.421875" style="424" customWidth="1"/>
    <col min="5" max="5" width="17.57421875" style="424" bestFit="1" customWidth="1"/>
    <col min="6" max="6" width="16.28125" style="424" customWidth="1"/>
    <col min="7" max="7" width="17.00390625" style="424" bestFit="1" customWidth="1"/>
    <col min="8" max="8" width="16.421875" style="424" bestFit="1" customWidth="1"/>
    <col min="9" max="9" width="6.140625" style="425" customWidth="1"/>
    <col min="10" max="10" width="7.8515625" style="426" customWidth="1"/>
    <col min="11" max="11" width="27.8515625" style="165" customWidth="1"/>
    <col min="12" max="16384" width="9.140625" style="165" customWidth="1"/>
  </cols>
  <sheetData>
    <row r="1" spans="1:10" ht="12.75" customHeight="1">
      <c r="A1" s="806" t="s">
        <v>582</v>
      </c>
      <c r="B1" s="806"/>
      <c r="C1" s="384"/>
      <c r="D1" s="384"/>
      <c r="E1" s="384"/>
      <c r="F1" s="384"/>
      <c r="G1" s="384"/>
      <c r="H1" s="807" t="s">
        <v>316</v>
      </c>
      <c r="I1" s="807"/>
      <c r="J1" s="807"/>
    </row>
    <row r="2" spans="1:10" ht="12.75">
      <c r="A2" s="385"/>
      <c r="B2" s="386"/>
      <c r="C2" s="384"/>
      <c r="D2" s="384"/>
      <c r="E2" s="384"/>
      <c r="F2" s="384"/>
      <c r="G2" s="384"/>
      <c r="H2" s="384"/>
      <c r="I2" s="387"/>
      <c r="J2" s="387"/>
    </row>
    <row r="3" spans="1:10" ht="11.25" customHeight="1" hidden="1">
      <c r="A3" s="385"/>
      <c r="B3" s="386"/>
      <c r="C3" s="384"/>
      <c r="D3" s="384"/>
      <c r="E3" s="384"/>
      <c r="F3" s="384"/>
      <c r="G3" s="384"/>
      <c r="H3" s="384"/>
      <c r="I3" s="387"/>
      <c r="J3" s="387"/>
    </row>
    <row r="4" spans="1:10" ht="12.75" customHeight="1" hidden="1">
      <c r="A4" s="385"/>
      <c r="B4" s="386"/>
      <c r="C4" s="384"/>
      <c r="D4" s="384"/>
      <c r="E4" s="384"/>
      <c r="F4" s="384"/>
      <c r="G4" s="384"/>
      <c r="H4" s="384"/>
      <c r="I4" s="387"/>
      <c r="J4" s="387"/>
    </row>
    <row r="5" spans="1:10" ht="12.75" customHeight="1" hidden="1">
      <c r="A5" s="385"/>
      <c r="B5" s="386"/>
      <c r="C5" s="384"/>
      <c r="D5" s="384"/>
      <c r="E5" s="384"/>
      <c r="F5" s="384"/>
      <c r="G5" s="384"/>
      <c r="H5" s="384"/>
      <c r="I5" s="387"/>
      <c r="J5" s="387"/>
    </row>
    <row r="6" spans="1:10" ht="17.25">
      <c r="A6" s="808" t="s">
        <v>702</v>
      </c>
      <c r="B6" s="808"/>
      <c r="C6" s="808"/>
      <c r="D6" s="808"/>
      <c r="E6" s="808"/>
      <c r="F6" s="808"/>
      <c r="G6" s="808"/>
      <c r="H6" s="808"/>
      <c r="I6" s="808"/>
      <c r="J6" s="808"/>
    </row>
    <row r="7" spans="1:10" ht="17.25" customHeight="1">
      <c r="A7" s="809" t="s">
        <v>583</v>
      </c>
      <c r="B7" s="809"/>
      <c r="C7" s="809"/>
      <c r="D7" s="809"/>
      <c r="E7" s="809"/>
      <c r="F7" s="809"/>
      <c r="G7" s="809"/>
      <c r="H7" s="809"/>
      <c r="I7" s="809"/>
      <c r="J7" s="809"/>
    </row>
    <row r="8" spans="1:10" ht="12.75" customHeight="1" hidden="1">
      <c r="A8" s="385"/>
      <c r="B8" s="388"/>
      <c r="C8" s="389"/>
      <c r="D8" s="389"/>
      <c r="E8" s="389"/>
      <c r="F8" s="389"/>
      <c r="G8" s="389"/>
      <c r="H8" s="389"/>
      <c r="I8" s="390"/>
      <c r="J8" s="390"/>
    </row>
    <row r="9" spans="1:10" ht="12.75">
      <c r="A9" s="391"/>
      <c r="B9" s="392"/>
      <c r="C9" s="393"/>
      <c r="D9" s="393"/>
      <c r="E9" s="393"/>
      <c r="F9" s="393"/>
      <c r="G9" s="393"/>
      <c r="H9" s="393"/>
      <c r="I9" s="394"/>
      <c r="J9" s="394" t="s">
        <v>199</v>
      </c>
    </row>
    <row r="10" spans="1:10" s="398" customFormat="1" ht="12.75">
      <c r="A10" s="801" t="s">
        <v>12</v>
      </c>
      <c r="B10" s="803" t="s">
        <v>0</v>
      </c>
      <c r="C10" s="804" t="s">
        <v>9</v>
      </c>
      <c r="D10" s="804"/>
      <c r="E10" s="804" t="s">
        <v>10</v>
      </c>
      <c r="F10" s="804"/>
      <c r="G10" s="804"/>
      <c r="H10" s="804"/>
      <c r="I10" s="805" t="s">
        <v>8</v>
      </c>
      <c r="J10" s="805"/>
    </row>
    <row r="11" spans="1:10" s="398" customFormat="1" ht="39">
      <c r="A11" s="802"/>
      <c r="B11" s="803"/>
      <c r="C11" s="396" t="s">
        <v>1</v>
      </c>
      <c r="D11" s="396" t="s">
        <v>2</v>
      </c>
      <c r="E11" s="396" t="s">
        <v>584</v>
      </c>
      <c r="F11" s="396" t="s">
        <v>234</v>
      </c>
      <c r="G11" s="396" t="s">
        <v>235</v>
      </c>
      <c r="H11" s="396" t="s">
        <v>317</v>
      </c>
      <c r="I11" s="397" t="s">
        <v>1</v>
      </c>
      <c r="J11" s="397" t="s">
        <v>2</v>
      </c>
    </row>
    <row r="12" spans="1:10" s="400" customFormat="1" ht="12.75">
      <c r="A12" s="399">
        <v>1</v>
      </c>
      <c r="B12" s="395">
        <v>2</v>
      </c>
      <c r="C12" s="395">
        <v>3</v>
      </c>
      <c r="D12" s="395">
        <v>4</v>
      </c>
      <c r="E12" s="395">
        <v>5</v>
      </c>
      <c r="F12" s="395">
        <v>6</v>
      </c>
      <c r="G12" s="395">
        <v>7</v>
      </c>
      <c r="H12" s="395">
        <v>8</v>
      </c>
      <c r="I12" s="396">
        <v>9</v>
      </c>
      <c r="J12" s="396">
        <v>10</v>
      </c>
    </row>
    <row r="13" spans="1:10" s="196" customFormat="1" ht="15" customHeight="1">
      <c r="A13" s="401" t="s">
        <v>18</v>
      </c>
      <c r="B13" s="402" t="s">
        <v>318</v>
      </c>
      <c r="C13" s="190">
        <f>C14+C25+C26+C59+C60+C61+C62</f>
        <v>6193325000000</v>
      </c>
      <c r="D13" s="190">
        <f>D14+D25+D26+D59+D60+D61+D62</f>
        <v>6437324000000</v>
      </c>
      <c r="E13" s="403">
        <f>E14+E25+E26+E59+E61+E60+E62</f>
        <v>8967832861473</v>
      </c>
      <c r="F13" s="403">
        <f>F14+F25+F26+F59+F61+F60+F62</f>
        <v>4271283981760</v>
      </c>
      <c r="G13" s="403">
        <f>G14+G25+G26+G59+G61+G60+G62</f>
        <v>3553473156446</v>
      </c>
      <c r="H13" s="403">
        <f>H14+H25+H26+H59+H61+H60+H62</f>
        <v>1143075723267</v>
      </c>
      <c r="I13" s="404">
        <f>E13/C13</f>
        <v>1.447983572874506</v>
      </c>
      <c r="J13" s="404">
        <f>E13/D13</f>
        <v>1.3930995024443387</v>
      </c>
    </row>
    <row r="14" spans="1:10" s="196" customFormat="1" ht="15" customHeight="1">
      <c r="A14" s="405" t="s">
        <v>20</v>
      </c>
      <c r="B14" s="406" t="s">
        <v>245</v>
      </c>
      <c r="C14" s="191">
        <f aca="true" t="shared" si="0" ref="C14:H14">C15+C24</f>
        <v>1475870000000</v>
      </c>
      <c r="D14" s="191">
        <f t="shared" si="0"/>
        <v>1717970000000</v>
      </c>
      <c r="E14" s="407">
        <f t="shared" si="0"/>
        <v>2189880948382</v>
      </c>
      <c r="F14" s="407">
        <f t="shared" si="0"/>
        <v>1354412163305</v>
      </c>
      <c r="G14" s="407">
        <f t="shared" si="0"/>
        <v>621325609479</v>
      </c>
      <c r="H14" s="407">
        <f t="shared" si="0"/>
        <v>214143175598</v>
      </c>
      <c r="I14" s="408">
        <f>E14/C14</f>
        <v>1.4837898652198365</v>
      </c>
      <c r="J14" s="408">
        <f>E14/D14</f>
        <v>1.2746910297513927</v>
      </c>
    </row>
    <row r="15" spans="1:10" s="412" customFormat="1" ht="15" customHeight="1">
      <c r="A15" s="409" t="s">
        <v>22</v>
      </c>
      <c r="B15" s="410" t="s">
        <v>319</v>
      </c>
      <c r="C15" s="411">
        <f aca="true" t="shared" si="1" ref="C15:H15">C18+C21+C22+C23</f>
        <v>1474870000000</v>
      </c>
      <c r="D15" s="411">
        <f t="shared" si="1"/>
        <v>1716970000000</v>
      </c>
      <c r="E15" s="411">
        <f t="shared" si="1"/>
        <v>2188880948382</v>
      </c>
      <c r="F15" s="411">
        <f t="shared" si="1"/>
        <v>1353412163305</v>
      </c>
      <c r="G15" s="411">
        <f t="shared" si="1"/>
        <v>621325609479</v>
      </c>
      <c r="H15" s="411">
        <f t="shared" si="1"/>
        <v>214143175598</v>
      </c>
      <c r="I15" s="408">
        <f>E15/C15</f>
        <v>1.484117887259216</v>
      </c>
      <c r="J15" s="408">
        <f>E15/D15</f>
        <v>1.2748510156741235</v>
      </c>
    </row>
    <row r="16" spans="1:10" ht="15" customHeight="1">
      <c r="A16" s="413" t="s">
        <v>16</v>
      </c>
      <c r="B16" s="414" t="s">
        <v>320</v>
      </c>
      <c r="C16" s="193"/>
      <c r="D16" s="193"/>
      <c r="E16" s="415"/>
      <c r="F16" s="415"/>
      <c r="G16" s="415"/>
      <c r="H16" s="415"/>
      <c r="I16" s="416"/>
      <c r="J16" s="416"/>
    </row>
    <row r="17" spans="1:10" ht="15" customHeight="1">
      <c r="A17" s="413" t="s">
        <v>16</v>
      </c>
      <c r="B17" s="414" t="s">
        <v>321</v>
      </c>
      <c r="C17" s="193"/>
      <c r="D17" s="193"/>
      <c r="E17" s="415"/>
      <c r="F17" s="415"/>
      <c r="G17" s="415"/>
      <c r="H17" s="415"/>
      <c r="I17" s="416"/>
      <c r="J17" s="416"/>
    </row>
    <row r="18" spans="1:10" ht="15" customHeight="1">
      <c r="A18" s="413" t="s">
        <v>23</v>
      </c>
      <c r="B18" s="414" t="s">
        <v>400</v>
      </c>
      <c r="C18" s="193">
        <f>495100000000+111000000000+749300000000+119470000000</f>
        <v>1474870000000</v>
      </c>
      <c r="D18" s="193">
        <f>697200000000+40000000000+111000000000+749300000000+119470000000</f>
        <v>1716970000000</v>
      </c>
      <c r="E18" s="415">
        <f>E19+E20</f>
        <v>2188880948382</v>
      </c>
      <c r="F18" s="415">
        <f>F20</f>
        <v>1353412163305</v>
      </c>
      <c r="G18" s="415">
        <f>G20</f>
        <v>621325609479</v>
      </c>
      <c r="H18" s="415">
        <v>214143175598</v>
      </c>
      <c r="I18" s="416">
        <f>E18/C18</f>
        <v>1.484117887259216</v>
      </c>
      <c r="J18" s="416">
        <f>E18/D18</f>
        <v>1.2748510156741235</v>
      </c>
    </row>
    <row r="19" spans="1:10" ht="15" customHeight="1">
      <c r="A19" s="413" t="s">
        <v>16</v>
      </c>
      <c r="B19" s="414" t="s">
        <v>322</v>
      </c>
      <c r="C19" s="193"/>
      <c r="D19" s="193"/>
      <c r="E19" s="415">
        <f aca="true" t="shared" si="2" ref="E19:E25">F19+G19+H19</f>
        <v>0</v>
      </c>
      <c r="F19" s="415">
        <f>'[1]Sheet1'!F19</f>
        <v>0</v>
      </c>
      <c r="G19" s="415">
        <f>'[1]Sheet1'!G19</f>
        <v>0</v>
      </c>
      <c r="H19" s="415">
        <f>'[1]Sheet1'!H19</f>
        <v>0</v>
      </c>
      <c r="I19" s="416"/>
      <c r="J19" s="416"/>
    </row>
    <row r="20" spans="1:11" s="651" customFormat="1" ht="15" customHeight="1">
      <c r="A20" s="646" t="s">
        <v>16</v>
      </c>
      <c r="B20" s="647" t="s">
        <v>323</v>
      </c>
      <c r="C20" s="648"/>
      <c r="D20" s="648"/>
      <c r="E20" s="649">
        <f t="shared" si="2"/>
        <v>2188880948382</v>
      </c>
      <c r="F20" s="649">
        <f>1372759991069-F68+12000000000+340773000</f>
        <v>1353412163305</v>
      </c>
      <c r="G20" s="649">
        <f>626185259479-G66</f>
        <v>621325609479</v>
      </c>
      <c r="H20" s="649">
        <f>300721502469-H66-H67</f>
        <v>214143175598</v>
      </c>
      <c r="I20" s="650"/>
      <c r="J20" s="650"/>
      <c r="K20" s="651" t="s">
        <v>624</v>
      </c>
    </row>
    <row r="21" spans="1:10" ht="26.25">
      <c r="A21" s="413" t="s">
        <v>25</v>
      </c>
      <c r="B21" s="414" t="s">
        <v>324</v>
      </c>
      <c r="C21" s="193"/>
      <c r="D21" s="193"/>
      <c r="E21" s="415">
        <f t="shared" si="2"/>
        <v>0</v>
      </c>
      <c r="F21" s="415">
        <f>'[1]Sheet1'!F21</f>
        <v>0</v>
      </c>
      <c r="G21" s="415">
        <f>'[1]Sheet1'!G21</f>
        <v>0</v>
      </c>
      <c r="H21" s="415">
        <f>'[1]Sheet1'!H21</f>
        <v>0</v>
      </c>
      <c r="I21" s="416"/>
      <c r="J21" s="416"/>
    </row>
    <row r="22" spans="1:11" ht="15" customHeight="1">
      <c r="A22" s="413" t="s">
        <v>27</v>
      </c>
      <c r="B22" s="414" t="s">
        <v>325</v>
      </c>
      <c r="C22" s="193"/>
      <c r="D22" s="193"/>
      <c r="E22" s="415">
        <f t="shared" si="2"/>
        <v>0</v>
      </c>
      <c r="F22" s="415">
        <f>'[1]Sheet1'!F22</f>
        <v>0</v>
      </c>
      <c r="G22" s="415">
        <f>'[1]Sheet1'!G22</f>
        <v>0</v>
      </c>
      <c r="H22" s="415">
        <f>'[1]Sheet1'!H22</f>
        <v>0</v>
      </c>
      <c r="I22" s="416"/>
      <c r="J22" s="416"/>
      <c r="K22" s="198">
        <f>626167259479+18000000</f>
        <v>626185259479</v>
      </c>
    </row>
    <row r="23" spans="1:11" ht="15" customHeight="1">
      <c r="A23" s="413" t="s">
        <v>29</v>
      </c>
      <c r="B23" s="414" t="s">
        <v>326</v>
      </c>
      <c r="C23" s="193"/>
      <c r="D23" s="193"/>
      <c r="E23" s="415">
        <f t="shared" si="2"/>
        <v>0</v>
      </c>
      <c r="F23" s="415">
        <f>'[1]Sheet1'!F23</f>
        <v>0</v>
      </c>
      <c r="G23" s="415">
        <f>'[1]Sheet1'!G23</f>
        <v>0</v>
      </c>
      <c r="H23" s="415">
        <f>'[1]Sheet1'!H23</f>
        <v>0</v>
      </c>
      <c r="I23" s="416"/>
      <c r="J23" s="416"/>
      <c r="K23" s="198">
        <f>1371909991069+850000000</f>
        <v>1372759991069</v>
      </c>
    </row>
    <row r="24" spans="1:10" s="412" customFormat="1" ht="27">
      <c r="A24" s="409" t="s">
        <v>37</v>
      </c>
      <c r="B24" s="410" t="s">
        <v>327</v>
      </c>
      <c r="C24" s="192">
        <v>1000000000</v>
      </c>
      <c r="D24" s="192">
        <v>1000000000</v>
      </c>
      <c r="E24" s="411">
        <f t="shared" si="2"/>
        <v>1000000000</v>
      </c>
      <c r="F24" s="411">
        <v>1000000000</v>
      </c>
      <c r="G24" s="411">
        <f>'[1]Sheet1'!G24</f>
        <v>0</v>
      </c>
      <c r="H24" s="411">
        <f>'[1]Sheet1'!H24</f>
        <v>0</v>
      </c>
      <c r="I24" s="417"/>
      <c r="J24" s="417">
        <f>E24/D26</f>
        <v>0.00021630067870826965</v>
      </c>
    </row>
    <row r="25" spans="1:10" s="196" customFormat="1" ht="26.25">
      <c r="A25" s="405" t="s">
        <v>47</v>
      </c>
      <c r="B25" s="406" t="s">
        <v>328</v>
      </c>
      <c r="C25" s="191"/>
      <c r="D25" s="191"/>
      <c r="E25" s="407">
        <f t="shared" si="2"/>
        <v>223455050000</v>
      </c>
      <c r="F25" s="407">
        <f>221600000000+1855050000</f>
        <v>223455050000</v>
      </c>
      <c r="G25" s="407">
        <f>'[1]Sheet1'!G25</f>
        <v>0</v>
      </c>
      <c r="H25" s="407">
        <f>'[1]Sheet1'!H25</f>
        <v>0</v>
      </c>
      <c r="I25" s="408"/>
      <c r="J25" s="408"/>
    </row>
    <row r="26" spans="1:11" s="196" customFormat="1" ht="15" customHeight="1">
      <c r="A26" s="405" t="s">
        <v>57</v>
      </c>
      <c r="B26" s="406" t="s">
        <v>244</v>
      </c>
      <c r="C26" s="191">
        <f>3965471000000+567989000000+87835000000</f>
        <v>4621295000000</v>
      </c>
      <c r="D26" s="407">
        <f>D27+D30+D34+D35+D36+D37+D38+D39+D41+D47+D51+D52+D53</f>
        <v>4623194000000</v>
      </c>
      <c r="E26" s="407">
        <f>E27+E30+E34+E35+E36+E37+E38+E39+E41+E47+E51+E52+E53</f>
        <v>5062568969275</v>
      </c>
      <c r="F26" s="407">
        <f>F27+F30+F34+F35+F36+F37+F38+F39+F41+F47+F51+F52+F53</f>
        <v>1539076621668</v>
      </c>
      <c r="G26" s="407">
        <f>G27+G30+G34+G35+G36+G37+G38+G39+G41+G47+G51+G52+G53</f>
        <v>2710011267498</v>
      </c>
      <c r="H26" s="407">
        <f>H27+H30+H34+H35+H36+H37+H38+H39+H41+H47+H51+H52+H53</f>
        <v>813481080109</v>
      </c>
      <c r="I26" s="408">
        <f>E26/C26</f>
        <v>1.095487080845304</v>
      </c>
      <c r="J26" s="408">
        <f>E26/D26</f>
        <v>1.0950371040616076</v>
      </c>
      <c r="K26" s="659">
        <v>2729433600998</v>
      </c>
    </row>
    <row r="27" spans="1:11" s="412" customFormat="1" ht="15" customHeight="1">
      <c r="A27" s="409" t="s">
        <v>59</v>
      </c>
      <c r="B27" s="410" t="s">
        <v>329</v>
      </c>
      <c r="C27" s="192"/>
      <c r="D27" s="192">
        <f>104378000000+900000000+230000000</f>
        <v>105508000000</v>
      </c>
      <c r="E27" s="411">
        <f>E28+E29</f>
        <v>145985158728</v>
      </c>
      <c r="F27" s="411">
        <f>F28+F29</f>
        <v>67334000000</v>
      </c>
      <c r="G27" s="411">
        <f>G28+G29</f>
        <v>33783587000</v>
      </c>
      <c r="H27" s="411">
        <f>H28+H29</f>
        <v>44867571728</v>
      </c>
      <c r="I27" s="417"/>
      <c r="J27" s="408">
        <f>E27/D27</f>
        <v>1.3836406597414415</v>
      </c>
      <c r="K27" s="660">
        <f>K26-G65</f>
        <v>2710011267498</v>
      </c>
    </row>
    <row r="28" spans="1:10" ht="15" customHeight="1">
      <c r="A28" s="413" t="s">
        <v>61</v>
      </c>
      <c r="B28" s="414" t="s">
        <v>330</v>
      </c>
      <c r="C28" s="193"/>
      <c r="D28" s="193"/>
      <c r="E28" s="415">
        <f aca="true" t="shared" si="3" ref="E28:E74">F28+G28+H28</f>
        <v>106391339722</v>
      </c>
      <c r="F28" s="415">
        <v>54009000000</v>
      </c>
      <c r="G28" s="415">
        <v>24189615000</v>
      </c>
      <c r="H28" s="415">
        <v>28192724722</v>
      </c>
      <c r="I28" s="408"/>
      <c r="J28" s="408"/>
    </row>
    <row r="29" spans="1:11" ht="15" customHeight="1">
      <c r="A29" s="413" t="s">
        <v>62</v>
      </c>
      <c r="B29" s="414" t="s">
        <v>331</v>
      </c>
      <c r="C29" s="193"/>
      <c r="D29" s="193"/>
      <c r="E29" s="415">
        <f t="shared" si="3"/>
        <v>39593819006</v>
      </c>
      <c r="F29" s="415">
        <v>13325000000</v>
      </c>
      <c r="G29" s="415">
        <v>9593972000</v>
      </c>
      <c r="H29" s="415">
        <v>16674847006</v>
      </c>
      <c r="I29" s="408"/>
      <c r="J29" s="408"/>
      <c r="K29" s="716">
        <v>4535359000000</v>
      </c>
    </row>
    <row r="30" spans="1:11" s="412" customFormat="1" ht="27">
      <c r="A30" s="409" t="s">
        <v>67</v>
      </c>
      <c r="B30" s="410" t="s">
        <v>332</v>
      </c>
      <c r="C30" s="192">
        <f>1984233000000+13150000000</f>
        <v>1997383000000</v>
      </c>
      <c r="D30" s="192">
        <f>2027685000000+13150000000</f>
        <v>2040835000000</v>
      </c>
      <c r="E30" s="411">
        <f>E31+E32+E33</f>
        <v>1984534221151</v>
      </c>
      <c r="F30" s="411">
        <f>F31+F32+F33</f>
        <v>380261944549</v>
      </c>
      <c r="G30" s="411">
        <f>G31+G32+G33</f>
        <v>1596026947801</v>
      </c>
      <c r="H30" s="411">
        <f>H31+H32+H33</f>
        <v>8245328801</v>
      </c>
      <c r="I30" s="408">
        <f>E30/C30</f>
        <v>0.9935671932478648</v>
      </c>
      <c r="J30" s="408">
        <f>E30/D30</f>
        <v>0.9724128707862223</v>
      </c>
      <c r="K30" s="783">
        <f>E26-K29</f>
        <v>527209969275</v>
      </c>
    </row>
    <row r="31" spans="1:11" s="651" customFormat="1" ht="15" customHeight="1">
      <c r="A31" s="646" t="s">
        <v>69</v>
      </c>
      <c r="B31" s="647" t="s">
        <v>333</v>
      </c>
      <c r="C31" s="652"/>
      <c r="D31" s="648"/>
      <c r="E31" s="649">
        <f t="shared" si="3"/>
        <v>1879580212879</v>
      </c>
      <c r="F31" s="649">
        <f>318891475359-F65</f>
        <v>295544952104</v>
      </c>
      <c r="G31" s="649">
        <f>1596603567974-G65</f>
        <v>1577181234474</v>
      </c>
      <c r="H31" s="649">
        <f>6854026301</f>
        <v>6854026301</v>
      </c>
      <c r="I31" s="650"/>
      <c r="J31" s="653"/>
      <c r="K31" s="661"/>
    </row>
    <row r="32" spans="1:10" ht="15" customHeight="1">
      <c r="A32" s="413" t="s">
        <v>70</v>
      </c>
      <c r="B32" s="414" t="s">
        <v>334</v>
      </c>
      <c r="C32" s="193"/>
      <c r="D32" s="193"/>
      <c r="E32" s="415">
        <f t="shared" si="3"/>
        <v>91839734562</v>
      </c>
      <c r="F32" s="415">
        <v>77442313348</v>
      </c>
      <c r="G32" s="415">
        <v>13853292714</v>
      </c>
      <c r="H32" s="415">
        <v>544128500</v>
      </c>
      <c r="I32" s="416"/>
      <c r="J32" s="416"/>
    </row>
    <row r="33" spans="1:10" ht="15" customHeight="1">
      <c r="A33" s="413" t="s">
        <v>71</v>
      </c>
      <c r="B33" s="414" t="s">
        <v>335</v>
      </c>
      <c r="C33" s="193"/>
      <c r="D33" s="193"/>
      <c r="E33" s="415">
        <f t="shared" si="3"/>
        <v>13114273710</v>
      </c>
      <c r="F33" s="415">
        <v>7274679097</v>
      </c>
      <c r="G33" s="415">
        <v>4992420613</v>
      </c>
      <c r="H33" s="415">
        <v>847174000</v>
      </c>
      <c r="I33" s="416"/>
      <c r="J33" s="416"/>
    </row>
    <row r="34" spans="1:11" s="658" customFormat="1" ht="15" customHeight="1">
      <c r="A34" s="654" t="s">
        <v>336</v>
      </c>
      <c r="B34" s="655" t="s">
        <v>337</v>
      </c>
      <c r="C34" s="652"/>
      <c r="D34" s="652">
        <f>314932000000+4367000000+4631000000+758000000+880000000</f>
        <v>325568000000</v>
      </c>
      <c r="E34" s="656">
        <f t="shared" si="3"/>
        <v>330813289004</v>
      </c>
      <c r="F34" s="656">
        <f>138950184993+1975710138-F67</f>
        <v>139828509181</v>
      </c>
      <c r="G34" s="656">
        <f>180505631055+8082081068</f>
        <v>188587712123</v>
      </c>
      <c r="H34" s="656">
        <f>2013932450+383135250</f>
        <v>2397067700</v>
      </c>
      <c r="I34" s="657"/>
      <c r="J34" s="653"/>
      <c r="K34" s="662"/>
    </row>
    <row r="35" spans="1:11" s="412" customFormat="1" ht="15" customHeight="1">
      <c r="A35" s="409" t="s">
        <v>338</v>
      </c>
      <c r="B35" s="410" t="s">
        <v>339</v>
      </c>
      <c r="C35" s="192">
        <v>17359000000</v>
      </c>
      <c r="D35" s="192">
        <v>24232000000</v>
      </c>
      <c r="E35" s="411">
        <f t="shared" si="3"/>
        <v>17831911731</v>
      </c>
      <c r="F35" s="411">
        <v>17831911731</v>
      </c>
      <c r="G35" s="411">
        <f>'[4]Sheet1'!G35</f>
        <v>0</v>
      </c>
      <c r="H35" s="411">
        <f>'[4]Sheet1'!H35</f>
        <v>0</v>
      </c>
      <c r="I35" s="408">
        <f>E35/C35</f>
        <v>1.0272430284578604</v>
      </c>
      <c r="J35" s="408">
        <f>E35/D35</f>
        <v>0.7358827885028062</v>
      </c>
      <c r="K35" s="660"/>
    </row>
    <row r="36" spans="1:10" s="412" customFormat="1" ht="15" customHeight="1">
      <c r="A36" s="409" t="s">
        <v>340</v>
      </c>
      <c r="B36" s="410" t="s">
        <v>341</v>
      </c>
      <c r="C36" s="192"/>
      <c r="D36" s="192">
        <f>46367000000+2886000000</f>
        <v>49253000000</v>
      </c>
      <c r="E36" s="411">
        <f t="shared" si="3"/>
        <v>46363633607</v>
      </c>
      <c r="F36" s="411">
        <v>26228799200</v>
      </c>
      <c r="G36" s="411">
        <v>15229008454</v>
      </c>
      <c r="H36" s="411">
        <v>4905825953</v>
      </c>
      <c r="I36" s="417"/>
      <c r="J36" s="408"/>
    </row>
    <row r="37" spans="1:10" s="412" customFormat="1" ht="27">
      <c r="A37" s="409" t="s">
        <v>342</v>
      </c>
      <c r="B37" s="410" t="s">
        <v>343</v>
      </c>
      <c r="C37" s="192"/>
      <c r="D37" s="192">
        <v>21107000000</v>
      </c>
      <c r="E37" s="411">
        <f t="shared" si="3"/>
        <v>31637425848</v>
      </c>
      <c r="F37" s="411">
        <v>18231539700</v>
      </c>
      <c r="G37" s="411">
        <v>11513079089</v>
      </c>
      <c r="H37" s="411">
        <v>1892807059</v>
      </c>
      <c r="I37" s="417"/>
      <c r="J37" s="408"/>
    </row>
    <row r="38" spans="1:10" s="412" customFormat="1" ht="15" customHeight="1">
      <c r="A38" s="409" t="s">
        <v>344</v>
      </c>
      <c r="B38" s="410" t="s">
        <v>345</v>
      </c>
      <c r="C38" s="192"/>
      <c r="D38" s="192"/>
      <c r="E38" s="411">
        <f t="shared" si="3"/>
        <v>16169547720</v>
      </c>
      <c r="F38" s="411">
        <v>10098048000</v>
      </c>
      <c r="G38" s="411">
        <v>2114161000</v>
      </c>
      <c r="H38" s="411">
        <v>3957338720</v>
      </c>
      <c r="I38" s="417"/>
      <c r="J38" s="417"/>
    </row>
    <row r="39" spans="1:10" s="412" customFormat="1" ht="15" customHeight="1">
      <c r="A39" s="409" t="s">
        <v>346</v>
      </c>
      <c r="B39" s="410" t="s">
        <v>347</v>
      </c>
      <c r="C39" s="192"/>
      <c r="D39" s="192">
        <f>183912000000+13755000000</f>
        <v>197667000000</v>
      </c>
      <c r="E39" s="411">
        <f t="shared" si="3"/>
        <v>415344413009</v>
      </c>
      <c r="F39" s="411">
        <v>61413683550</v>
      </c>
      <c r="G39" s="411">
        <v>260664485055</v>
      </c>
      <c r="H39" s="411">
        <v>93266244404</v>
      </c>
      <c r="I39" s="417"/>
      <c r="J39" s="408"/>
    </row>
    <row r="40" spans="1:10" s="412" customFormat="1" ht="27">
      <c r="A40" s="409" t="s">
        <v>16</v>
      </c>
      <c r="B40" s="410" t="s">
        <v>348</v>
      </c>
      <c r="C40" s="192"/>
      <c r="D40" s="192"/>
      <c r="E40" s="411">
        <f t="shared" si="3"/>
        <v>0</v>
      </c>
      <c r="F40" s="411"/>
      <c r="G40" s="411"/>
      <c r="H40" s="411"/>
      <c r="I40" s="417"/>
      <c r="J40" s="417"/>
    </row>
    <row r="41" spans="1:11" s="412" customFormat="1" ht="15" customHeight="1">
      <c r="A41" s="409" t="s">
        <v>349</v>
      </c>
      <c r="B41" s="410" t="s">
        <v>350</v>
      </c>
      <c r="C41" s="192"/>
      <c r="D41" s="192">
        <f>546500000000+37868000000+1010000000+7200000000+200000000</f>
        <v>592778000000</v>
      </c>
      <c r="E41" s="411">
        <f>E42+E43+E44+E45+E46</f>
        <v>620445068659</v>
      </c>
      <c r="F41" s="411">
        <f>F42+F43+F44+F45+F46</f>
        <v>269144186544</v>
      </c>
      <c r="G41" s="411">
        <f>G42+G43+G44+G45+G46</f>
        <v>231141922328</v>
      </c>
      <c r="H41" s="411">
        <f>H42+H43+H44+H45+H46</f>
        <v>120158959787</v>
      </c>
      <c r="I41" s="417"/>
      <c r="J41" s="408"/>
      <c r="K41" s="660">
        <f>F41-216227186544</f>
        <v>52917000000</v>
      </c>
    </row>
    <row r="42" spans="1:11" ht="15" customHeight="1">
      <c r="A42" s="413" t="s">
        <v>351</v>
      </c>
      <c r="B42" s="414" t="s">
        <v>352</v>
      </c>
      <c r="C42" s="193"/>
      <c r="D42" s="193"/>
      <c r="E42" s="415">
        <f t="shared" si="3"/>
        <v>172645982912</v>
      </c>
      <c r="F42" s="415">
        <v>52399513000</v>
      </c>
      <c r="G42" s="415">
        <v>32626936223</v>
      </c>
      <c r="H42" s="415">
        <v>87619533689</v>
      </c>
      <c r="I42" s="416"/>
      <c r="J42" s="416"/>
      <c r="K42" s="198">
        <f>144336096851+185539000000</f>
        <v>329875096851</v>
      </c>
    </row>
    <row r="43" spans="1:10" ht="15" customHeight="1">
      <c r="A43" s="413" t="s">
        <v>353</v>
      </c>
      <c r="B43" s="414" t="s">
        <v>354</v>
      </c>
      <c r="C43" s="193"/>
      <c r="D43" s="193"/>
      <c r="E43" s="415">
        <f t="shared" si="3"/>
        <v>139761359569</v>
      </c>
      <c r="F43" s="415">
        <v>3249743000</v>
      </c>
      <c r="G43" s="415">
        <v>135526362000</v>
      </c>
      <c r="H43" s="415">
        <v>985254569</v>
      </c>
      <c r="I43" s="416"/>
      <c r="J43" s="416"/>
    </row>
    <row r="44" spans="1:10" ht="15" customHeight="1">
      <c r="A44" s="413" t="s">
        <v>355</v>
      </c>
      <c r="B44" s="414" t="s">
        <v>356</v>
      </c>
      <c r="C44" s="193"/>
      <c r="D44" s="193"/>
      <c r="E44" s="381">
        <f t="shared" si="3"/>
        <v>16004347429</v>
      </c>
      <c r="F44" s="381">
        <v>0</v>
      </c>
      <c r="G44" s="381">
        <v>406600000</v>
      </c>
      <c r="H44" s="645">
        <v>15597747429</v>
      </c>
      <c r="I44" s="644"/>
      <c r="J44" s="416"/>
    </row>
    <row r="45" spans="1:10" ht="15" customHeight="1">
      <c r="A45" s="413" t="s">
        <v>357</v>
      </c>
      <c r="B45" s="414" t="s">
        <v>358</v>
      </c>
      <c r="C45" s="193"/>
      <c r="D45" s="193"/>
      <c r="E45" s="381">
        <f t="shared" si="3"/>
        <v>88123249865</v>
      </c>
      <c r="F45" s="381">
        <v>16241833693</v>
      </c>
      <c r="G45" s="381">
        <v>57037157029</v>
      </c>
      <c r="H45" s="645">
        <v>14844259143</v>
      </c>
      <c r="I45" s="644"/>
      <c r="J45" s="416"/>
    </row>
    <row r="46" spans="1:10" ht="15" customHeight="1">
      <c r="A46" s="413" t="s">
        <v>359</v>
      </c>
      <c r="B46" s="414" t="s">
        <v>360</v>
      </c>
      <c r="C46" s="193"/>
      <c r="D46" s="193"/>
      <c r="E46" s="381">
        <f t="shared" si="3"/>
        <v>203910128884</v>
      </c>
      <c r="F46" s="381">
        <f>144336096851+'[9]THCN'!$D$40</f>
        <v>197253096851</v>
      </c>
      <c r="G46" s="381">
        <v>5544867076</v>
      </c>
      <c r="H46" s="645">
        <v>1112164957</v>
      </c>
      <c r="I46" s="644"/>
      <c r="J46" s="416"/>
    </row>
    <row r="47" spans="1:10" s="412" customFormat="1" ht="15" customHeight="1">
      <c r="A47" s="409" t="s">
        <v>361</v>
      </c>
      <c r="B47" s="410" t="s">
        <v>362</v>
      </c>
      <c r="C47" s="192"/>
      <c r="D47" s="192">
        <v>1040090000000</v>
      </c>
      <c r="E47" s="411">
        <f>E48+E49+E50</f>
        <v>1243387149551</v>
      </c>
      <c r="F47" s="411">
        <f>F48+F49+F50</f>
        <v>408589446144</v>
      </c>
      <c r="G47" s="411">
        <f>G48+G49+G50</f>
        <v>310761288658</v>
      </c>
      <c r="H47" s="411">
        <f>H48+H49+H50</f>
        <v>524036414749</v>
      </c>
      <c r="I47" s="417"/>
      <c r="J47" s="408"/>
    </row>
    <row r="48" spans="1:11" s="651" customFormat="1" ht="15" customHeight="1">
      <c r="A48" s="646" t="s">
        <v>363</v>
      </c>
      <c r="B48" s="647" t="s">
        <v>364</v>
      </c>
      <c r="C48" s="648"/>
      <c r="D48" s="648"/>
      <c r="E48" s="649">
        <f t="shared" si="3"/>
        <v>797858198439</v>
      </c>
      <c r="F48" s="649">
        <f>282176845968-F66</f>
        <v>281458845968</v>
      </c>
      <c r="G48" s="649">
        <v>173074474087</v>
      </c>
      <c r="H48" s="649">
        <v>343324878384</v>
      </c>
      <c r="I48" s="650"/>
      <c r="J48" s="650"/>
      <c r="K48" s="651" t="s">
        <v>625</v>
      </c>
    </row>
    <row r="49" spans="1:10" ht="15" customHeight="1">
      <c r="A49" s="413" t="s">
        <v>365</v>
      </c>
      <c r="B49" s="414" t="s">
        <v>366</v>
      </c>
      <c r="C49" s="193"/>
      <c r="D49" s="193"/>
      <c r="E49" s="415">
        <f t="shared" si="3"/>
        <v>413236433130</v>
      </c>
      <c r="F49" s="415">
        <v>113449182000</v>
      </c>
      <c r="G49" s="415">
        <v>128248275372</v>
      </c>
      <c r="H49" s="415">
        <v>171538975758</v>
      </c>
      <c r="I49" s="416"/>
      <c r="J49" s="416"/>
    </row>
    <row r="50" spans="1:10" ht="15" customHeight="1">
      <c r="A50" s="413" t="s">
        <v>367</v>
      </c>
      <c r="B50" s="414" t="s">
        <v>368</v>
      </c>
      <c r="C50" s="193"/>
      <c r="D50" s="193"/>
      <c r="E50" s="415">
        <f t="shared" si="3"/>
        <v>32292517982</v>
      </c>
      <c r="F50" s="415">
        <f>7854835176+5826583000</f>
        <v>13681418176</v>
      </c>
      <c r="G50" s="415">
        <f>9313039199+125500000</f>
        <v>9438539199</v>
      </c>
      <c r="H50" s="415">
        <v>9172560607</v>
      </c>
      <c r="I50" s="416"/>
      <c r="J50" s="416"/>
    </row>
    <row r="51" spans="1:10" s="412" customFormat="1" ht="15" customHeight="1">
      <c r="A51" s="409" t="s">
        <v>369</v>
      </c>
      <c r="B51" s="410" t="s">
        <v>370</v>
      </c>
      <c r="C51" s="192"/>
      <c r="D51" s="192">
        <v>14930000000</v>
      </c>
      <c r="E51" s="411">
        <f t="shared" si="3"/>
        <v>19423806036</v>
      </c>
      <c r="F51" s="411">
        <v>8237282200</v>
      </c>
      <c r="G51" s="411">
        <v>9760623136</v>
      </c>
      <c r="H51" s="411">
        <v>1425900700</v>
      </c>
      <c r="I51" s="417"/>
      <c r="J51" s="408"/>
    </row>
    <row r="52" spans="1:10" s="412" customFormat="1" ht="15" customHeight="1">
      <c r="A52" s="409" t="s">
        <v>371</v>
      </c>
      <c r="B52" s="410" t="s">
        <v>372</v>
      </c>
      <c r="C52" s="192">
        <v>47690000000</v>
      </c>
      <c r="D52" s="192">
        <v>66906000000</v>
      </c>
      <c r="E52" s="411">
        <f t="shared" si="3"/>
        <v>65663242683</v>
      </c>
      <c r="F52" s="411">
        <v>49379814900</v>
      </c>
      <c r="G52" s="411">
        <v>15004523671</v>
      </c>
      <c r="H52" s="411">
        <v>1278904112</v>
      </c>
      <c r="I52" s="408">
        <f>E52/C52</f>
        <v>1.3768765502830782</v>
      </c>
      <c r="J52" s="408">
        <f>E52/D52</f>
        <v>0.9814253233342302</v>
      </c>
    </row>
    <row r="53" spans="1:10" s="412" customFormat="1" ht="15" customHeight="1">
      <c r="A53" s="409" t="s">
        <v>373</v>
      </c>
      <c r="B53" s="410" t="s">
        <v>374</v>
      </c>
      <c r="C53" s="192"/>
      <c r="D53" s="192">
        <v>144320000000</v>
      </c>
      <c r="E53" s="411">
        <f>E54+E55+E56+E57+E58</f>
        <v>124970101548</v>
      </c>
      <c r="F53" s="411">
        <v>82497455969</v>
      </c>
      <c r="G53" s="411">
        <v>35423929183</v>
      </c>
      <c r="H53" s="411">
        <v>7048716396</v>
      </c>
      <c r="I53" s="408"/>
      <c r="J53" s="408"/>
    </row>
    <row r="54" spans="1:10" ht="15" customHeight="1">
      <c r="A54" s="413" t="s">
        <v>375</v>
      </c>
      <c r="B54" s="414" t="s">
        <v>376</v>
      </c>
      <c r="C54" s="193"/>
      <c r="D54" s="193"/>
      <c r="E54" s="415">
        <f t="shared" si="3"/>
        <v>0</v>
      </c>
      <c r="F54" s="415">
        <v>0</v>
      </c>
      <c r="G54" s="415">
        <f>'[4]Sheet1'!G54</f>
        <v>0</v>
      </c>
      <c r="H54" s="415">
        <f>'[4]Sheet1'!H54</f>
        <v>0</v>
      </c>
      <c r="I54" s="416"/>
      <c r="J54" s="416"/>
    </row>
    <row r="55" spans="1:10" ht="15" customHeight="1">
      <c r="A55" s="413" t="s">
        <v>377</v>
      </c>
      <c r="B55" s="414" t="s">
        <v>378</v>
      </c>
      <c r="C55" s="193"/>
      <c r="D55" s="193"/>
      <c r="E55" s="415">
        <f t="shared" si="3"/>
        <v>0</v>
      </c>
      <c r="F55" s="415">
        <f>'[4]Sheet1'!F55</f>
        <v>0</v>
      </c>
      <c r="G55" s="415">
        <f>'[4]Sheet1'!G55</f>
        <v>0</v>
      </c>
      <c r="H55" s="415">
        <f>'[4]Sheet1'!H55</f>
        <v>0</v>
      </c>
      <c r="I55" s="416"/>
      <c r="J55" s="416"/>
    </row>
    <row r="56" spans="1:10" ht="26.25">
      <c r="A56" s="413" t="s">
        <v>379</v>
      </c>
      <c r="B56" s="414" t="s">
        <v>380</v>
      </c>
      <c r="C56" s="193"/>
      <c r="D56" s="193"/>
      <c r="E56" s="415">
        <f t="shared" si="3"/>
        <v>0</v>
      </c>
      <c r="F56" s="415">
        <f>'[4]Sheet1'!F56</f>
        <v>0</v>
      </c>
      <c r="G56" s="415">
        <f>'[4]Sheet1'!G56</f>
        <v>0</v>
      </c>
      <c r="H56" s="415">
        <f>'[4]Sheet1'!H56</f>
        <v>0</v>
      </c>
      <c r="I56" s="416"/>
      <c r="J56" s="416"/>
    </row>
    <row r="57" spans="1:10" ht="15" customHeight="1">
      <c r="A57" s="413" t="s">
        <v>381</v>
      </c>
      <c r="B57" s="414" t="s">
        <v>382</v>
      </c>
      <c r="C57" s="193"/>
      <c r="D57" s="193"/>
      <c r="E57" s="415">
        <f t="shared" si="3"/>
        <v>0</v>
      </c>
      <c r="F57" s="415">
        <f>'[4]Sheet1'!F57</f>
        <v>0</v>
      </c>
      <c r="G57" s="415">
        <f>'[4]Sheet1'!G57</f>
        <v>0</v>
      </c>
      <c r="H57" s="415">
        <f>'[4]Sheet1'!H57</f>
        <v>0</v>
      </c>
      <c r="I57" s="416"/>
      <c r="J57" s="416"/>
    </row>
    <row r="58" spans="1:10" ht="15" customHeight="1">
      <c r="A58" s="413" t="s">
        <v>383</v>
      </c>
      <c r="B58" s="414" t="s">
        <v>384</v>
      </c>
      <c r="C58" s="193"/>
      <c r="D58" s="193"/>
      <c r="E58" s="415">
        <f t="shared" si="3"/>
        <v>124970101548</v>
      </c>
      <c r="F58" s="415">
        <v>82497455969</v>
      </c>
      <c r="G58" s="415">
        <v>35423929183</v>
      </c>
      <c r="H58" s="415">
        <v>7048716396</v>
      </c>
      <c r="I58" s="416"/>
      <c r="J58" s="416"/>
    </row>
    <row r="59" spans="1:10" s="196" customFormat="1" ht="15" customHeight="1">
      <c r="A59" s="405" t="s">
        <v>75</v>
      </c>
      <c r="B59" s="406" t="s">
        <v>284</v>
      </c>
      <c r="C59" s="191">
        <v>1000000000</v>
      </c>
      <c r="D59" s="191">
        <v>1000000000</v>
      </c>
      <c r="E59" s="407">
        <f t="shared" si="3"/>
        <v>1000000000</v>
      </c>
      <c r="F59" s="407">
        <f>'[4]Sheet1'!F59</f>
        <v>1000000000</v>
      </c>
      <c r="G59" s="407">
        <f>'[4]Sheet1'!G59</f>
        <v>0</v>
      </c>
      <c r="H59" s="407">
        <f>'[4]Sheet1'!H59</f>
        <v>0</v>
      </c>
      <c r="I59" s="408">
        <f>E59/C59</f>
        <v>1</v>
      </c>
      <c r="J59" s="408">
        <f>E59/D59</f>
        <v>1</v>
      </c>
    </row>
    <row r="60" spans="1:11" s="196" customFormat="1" ht="15" customHeight="1">
      <c r="A60" s="405" t="s">
        <v>76</v>
      </c>
      <c r="B60" s="406" t="s">
        <v>385</v>
      </c>
      <c r="C60" s="191"/>
      <c r="D60" s="191"/>
      <c r="E60" s="407">
        <f t="shared" si="3"/>
        <v>1490927893816</v>
      </c>
      <c r="F60" s="407">
        <v>1153340146787</v>
      </c>
      <c r="G60" s="407">
        <v>222136279469</v>
      </c>
      <c r="H60" s="407">
        <v>115451467560</v>
      </c>
      <c r="I60" s="408"/>
      <c r="J60" s="408"/>
      <c r="K60" s="659">
        <v>888845095528</v>
      </c>
    </row>
    <row r="61" spans="1:11" s="196" customFormat="1" ht="15" customHeight="1">
      <c r="A61" s="405" t="s">
        <v>78</v>
      </c>
      <c r="B61" s="406" t="s">
        <v>386</v>
      </c>
      <c r="C61" s="191">
        <v>95160000000</v>
      </c>
      <c r="D61" s="191">
        <v>95160000000</v>
      </c>
      <c r="E61" s="407">
        <f t="shared" si="3"/>
        <v>0</v>
      </c>
      <c r="F61" s="407">
        <f>'[1]Sheet1'!F61</f>
        <v>0</v>
      </c>
      <c r="G61" s="407">
        <f>'[1]Sheet1'!G61</f>
        <v>0</v>
      </c>
      <c r="H61" s="407">
        <f>'[1]Sheet1'!H61</f>
        <v>0</v>
      </c>
      <c r="I61" s="408">
        <f>E61/C61</f>
        <v>0</v>
      </c>
      <c r="J61" s="408">
        <f>E61/D61</f>
        <v>0</v>
      </c>
      <c r="K61" s="470">
        <f>491130335111+76906032765+7251706583+210993864915+100544679954+2018476200</f>
        <v>888845095528</v>
      </c>
    </row>
    <row r="62" spans="1:11" s="196" customFormat="1" ht="15" customHeight="1">
      <c r="A62" s="405" t="s">
        <v>80</v>
      </c>
      <c r="B62" s="406" t="s">
        <v>387</v>
      </c>
      <c r="C62" s="191"/>
      <c r="D62" s="191"/>
      <c r="E62" s="407">
        <f t="shared" si="3"/>
        <v>0</v>
      </c>
      <c r="F62" s="407">
        <f>'[1]Sheet1'!F62</f>
        <v>0</v>
      </c>
      <c r="G62" s="407">
        <f>'[1]Sheet1'!G62</f>
        <v>0</v>
      </c>
      <c r="H62" s="407">
        <f>'[1]Sheet1'!H62</f>
        <v>0</v>
      </c>
      <c r="I62" s="408"/>
      <c r="J62" s="408"/>
      <c r="K62" s="407">
        <f>491130335111+76906032765+7251706583+210993864915+100544679954+2018476200+24797000000+49833000000+50000000000</f>
        <v>1013475095528</v>
      </c>
    </row>
    <row r="63" spans="1:10" s="196" customFormat="1" ht="15" customHeight="1">
      <c r="A63" s="405" t="s">
        <v>111</v>
      </c>
      <c r="B63" s="406" t="s">
        <v>388</v>
      </c>
      <c r="C63" s="191"/>
      <c r="D63" s="191">
        <v>80000000000</v>
      </c>
      <c r="E63" s="407">
        <f t="shared" si="3"/>
        <v>0</v>
      </c>
      <c r="F63" s="407">
        <f>'[1]Sheet1'!F63</f>
        <v>0</v>
      </c>
      <c r="G63" s="407">
        <f>'[1]Sheet1'!G63</f>
        <v>0</v>
      </c>
      <c r="H63" s="407">
        <f>'[1]Sheet1'!H63</f>
        <v>0</v>
      </c>
      <c r="I63" s="408"/>
      <c r="J63" s="408"/>
    </row>
    <row r="64" spans="1:10" s="196" customFormat="1" ht="26.25">
      <c r="A64" s="405" t="s">
        <v>117</v>
      </c>
      <c r="B64" s="406" t="s">
        <v>389</v>
      </c>
      <c r="C64" s="191"/>
      <c r="D64" s="191">
        <f>300000000000-40000000000</f>
        <v>260000000000</v>
      </c>
      <c r="E64" s="407">
        <f>E65+E66+E67+E68</f>
        <v>167710820340</v>
      </c>
      <c r="F64" s="407">
        <f>F65+F66+F67+F68</f>
        <v>56850509969</v>
      </c>
      <c r="G64" s="407">
        <f>G65+G66+G67+G68</f>
        <v>24281983500</v>
      </c>
      <c r="H64" s="407">
        <f>H65+H66+H67+H68</f>
        <v>86578326871</v>
      </c>
      <c r="I64" s="408"/>
      <c r="J64" s="408">
        <f>E64/D64</f>
        <v>0.6450416166923076</v>
      </c>
    </row>
    <row r="65" spans="1:10" ht="15" customHeight="1">
      <c r="A65" s="413" t="s">
        <v>20</v>
      </c>
      <c r="B65" s="414" t="s">
        <v>390</v>
      </c>
      <c r="C65" s="193"/>
      <c r="D65" s="193"/>
      <c r="E65" s="415">
        <f t="shared" si="3"/>
        <v>42768856755</v>
      </c>
      <c r="F65" s="381">
        <v>23346523255</v>
      </c>
      <c r="G65" s="381">
        <v>19422333500</v>
      </c>
      <c r="H65" s="415">
        <f>'[1]Sheet1'!H65</f>
        <v>0</v>
      </c>
      <c r="I65" s="416"/>
      <c r="J65" s="416"/>
    </row>
    <row r="66" spans="1:10" s="651" customFormat="1" ht="15" customHeight="1">
      <c r="A66" s="646" t="s">
        <v>57</v>
      </c>
      <c r="B66" s="647" t="s">
        <v>391</v>
      </c>
      <c r="C66" s="648"/>
      <c r="D66" s="648"/>
      <c r="E66" s="649">
        <f t="shared" si="3"/>
        <v>88255976871</v>
      </c>
      <c r="F66" s="648">
        <f>PL08_B02!G114</f>
        <v>718000000</v>
      </c>
      <c r="G66" s="648">
        <f>PL08_B02!H114</f>
        <v>4859650000</v>
      </c>
      <c r="H66" s="648">
        <f>PL08_B02!I114</f>
        <v>82678326871</v>
      </c>
      <c r="I66" s="650"/>
      <c r="J66" s="650"/>
    </row>
    <row r="67" spans="1:11" ht="15" customHeight="1">
      <c r="A67" s="413" t="s">
        <v>76</v>
      </c>
      <c r="B67" s="414" t="s">
        <v>393</v>
      </c>
      <c r="C67" s="193"/>
      <c r="D67" s="193"/>
      <c r="E67" s="415">
        <f t="shared" si="3"/>
        <v>4997385950</v>
      </c>
      <c r="F67" s="381">
        <f>PL08_B02!G106</f>
        <v>1097385950</v>
      </c>
      <c r="G67" s="381">
        <f>PL08_B02!H106</f>
        <v>0</v>
      </c>
      <c r="H67" s="381">
        <f>PL08_B02!I106</f>
        <v>3900000000</v>
      </c>
      <c r="I67" s="416"/>
      <c r="J67" s="416"/>
      <c r="K67" s="198"/>
    </row>
    <row r="68" spans="1:10" ht="15" customHeight="1">
      <c r="A68" s="413" t="s">
        <v>81</v>
      </c>
      <c r="B68" s="414" t="s">
        <v>394</v>
      </c>
      <c r="C68" s="193"/>
      <c r="D68" s="193"/>
      <c r="E68" s="415">
        <f t="shared" si="3"/>
        <v>31688600764</v>
      </c>
      <c r="F68" s="415">
        <f>31688600764</f>
        <v>31688600764</v>
      </c>
      <c r="G68" s="415">
        <f>'[1]Sheet1'!G72</f>
        <v>0</v>
      </c>
      <c r="H68" s="415">
        <f>'[1]Sheet1'!H72</f>
        <v>0</v>
      </c>
      <c r="I68" s="416"/>
      <c r="J68" s="416"/>
    </row>
    <row r="69" spans="1:10" s="196" customFormat="1" ht="15" customHeight="1">
      <c r="A69" s="405" t="s">
        <v>119</v>
      </c>
      <c r="B69" s="406" t="s">
        <v>395</v>
      </c>
      <c r="C69" s="191"/>
      <c r="D69" s="191"/>
      <c r="E69" s="407">
        <f>E70+E71</f>
        <v>4292970783260</v>
      </c>
      <c r="F69" s="407">
        <f>F70+F71</f>
        <v>3525161965600</v>
      </c>
      <c r="G69" s="407">
        <f>G70+G71</f>
        <v>767808817660</v>
      </c>
      <c r="H69" s="407">
        <f>H70+H71</f>
        <v>0</v>
      </c>
      <c r="I69" s="416"/>
      <c r="J69" s="416"/>
    </row>
    <row r="70" spans="1:10" ht="15" customHeight="1">
      <c r="A70" s="413" t="s">
        <v>20</v>
      </c>
      <c r="B70" s="414" t="s">
        <v>135</v>
      </c>
      <c r="C70" s="193"/>
      <c r="D70" s="193"/>
      <c r="E70" s="415">
        <f t="shared" si="3"/>
        <v>1690617870000</v>
      </c>
      <c r="F70" s="415">
        <v>1391254000000</v>
      </c>
      <c r="G70" s="415">
        <v>299363870000</v>
      </c>
      <c r="H70" s="415">
        <f>'[1]Sheet1'!H76</f>
        <v>0</v>
      </c>
      <c r="I70" s="416"/>
      <c r="J70" s="416"/>
    </row>
    <row r="71" spans="1:10" ht="15" customHeight="1">
      <c r="A71" s="413" t="s">
        <v>47</v>
      </c>
      <c r="B71" s="414" t="s">
        <v>136</v>
      </c>
      <c r="C71" s="193"/>
      <c r="D71" s="193"/>
      <c r="E71" s="415">
        <f t="shared" si="3"/>
        <v>2602352913260</v>
      </c>
      <c r="F71" s="415">
        <v>2133907965600</v>
      </c>
      <c r="G71" s="415">
        <v>468444947660</v>
      </c>
      <c r="H71" s="415">
        <f>'[1]Sheet1'!H77</f>
        <v>0</v>
      </c>
      <c r="I71" s="416"/>
      <c r="J71" s="416"/>
    </row>
    <row r="72" spans="1:10" ht="15" customHeight="1">
      <c r="A72" s="413" t="s">
        <v>16</v>
      </c>
      <c r="B72" s="414" t="s">
        <v>396</v>
      </c>
      <c r="C72" s="193"/>
      <c r="D72" s="193"/>
      <c r="E72" s="415">
        <f t="shared" si="3"/>
        <v>0</v>
      </c>
      <c r="F72" s="415"/>
      <c r="G72" s="415"/>
      <c r="H72" s="415"/>
      <c r="I72" s="416"/>
      <c r="J72" s="416"/>
    </row>
    <row r="73" spans="1:10" ht="15" customHeight="1">
      <c r="A73" s="413" t="s">
        <v>16</v>
      </c>
      <c r="B73" s="414" t="s">
        <v>397</v>
      </c>
      <c r="C73" s="193"/>
      <c r="D73" s="193"/>
      <c r="E73" s="415">
        <f t="shared" si="3"/>
        <v>0</v>
      </c>
      <c r="F73" s="415"/>
      <c r="G73" s="415"/>
      <c r="H73" s="415"/>
      <c r="I73" s="416"/>
      <c r="J73" s="416"/>
    </row>
    <row r="74" spans="1:10" s="196" customFormat="1" ht="15" customHeight="1">
      <c r="A74" s="405" t="s">
        <v>121</v>
      </c>
      <c r="B74" s="406" t="s">
        <v>398</v>
      </c>
      <c r="C74" s="191"/>
      <c r="D74" s="191"/>
      <c r="E74" s="407">
        <f t="shared" si="3"/>
        <v>55464540634</v>
      </c>
      <c r="F74" s="407"/>
      <c r="G74" s="407">
        <v>49858013624</v>
      </c>
      <c r="H74" s="407">
        <v>5606527010</v>
      </c>
      <c r="I74" s="408"/>
      <c r="J74" s="408"/>
    </row>
    <row r="75" spans="1:11" s="196" customFormat="1" ht="15" customHeight="1">
      <c r="A75" s="418"/>
      <c r="B75" s="419" t="s">
        <v>399</v>
      </c>
      <c r="C75" s="194">
        <f aca="true" t="shared" si="4" ref="C75:H75">C74+C69+C64+C63+C13</f>
        <v>6193325000000</v>
      </c>
      <c r="D75" s="194">
        <f t="shared" si="4"/>
        <v>6777324000000</v>
      </c>
      <c r="E75" s="420">
        <f t="shared" si="4"/>
        <v>13483979005707</v>
      </c>
      <c r="F75" s="420">
        <f t="shared" si="4"/>
        <v>7853296457329</v>
      </c>
      <c r="G75" s="420">
        <f t="shared" si="4"/>
        <v>4395421971230</v>
      </c>
      <c r="H75" s="420">
        <f t="shared" si="4"/>
        <v>1235260577148</v>
      </c>
      <c r="I75" s="408">
        <f>E75/C75</f>
        <v>2.177179302831193</v>
      </c>
      <c r="J75" s="421">
        <f>E75/D75</f>
        <v>1.9895727289571814</v>
      </c>
      <c r="K75" s="659">
        <f>7125828872653-F75</f>
        <v>-727467584676</v>
      </c>
    </row>
    <row r="76" spans="1:10" s="196" customFormat="1" ht="14.25" customHeight="1">
      <c r="A76" s="682"/>
      <c r="B76" s="683"/>
      <c r="C76" s="481"/>
      <c r="D76" s="481"/>
      <c r="E76" s="481"/>
      <c r="F76" s="684"/>
      <c r="G76" s="684"/>
      <c r="H76" s="684"/>
      <c r="I76" s="685"/>
      <c r="J76" s="685"/>
    </row>
    <row r="77" spans="1:11" s="196" customFormat="1" ht="14.25" customHeight="1">
      <c r="A77" s="813" t="s">
        <v>730</v>
      </c>
      <c r="B77" s="813"/>
      <c r="C77" s="813"/>
      <c r="D77" s="810" t="s">
        <v>730</v>
      </c>
      <c r="E77" s="810"/>
      <c r="F77" s="810"/>
      <c r="G77" s="810" t="s">
        <v>730</v>
      </c>
      <c r="H77" s="810"/>
      <c r="I77" s="810"/>
      <c r="J77" s="810"/>
      <c r="K77" s="659">
        <f>1235260577148-H75</f>
        <v>0</v>
      </c>
    </row>
    <row r="78" spans="1:10" s="196" customFormat="1" ht="14.25" customHeight="1">
      <c r="A78" s="811" t="s">
        <v>231</v>
      </c>
      <c r="B78" s="811"/>
      <c r="C78" s="665"/>
      <c r="D78" s="811" t="s">
        <v>208</v>
      </c>
      <c r="E78" s="811"/>
      <c r="F78" s="811"/>
      <c r="G78" s="811" t="s">
        <v>232</v>
      </c>
      <c r="H78" s="811"/>
      <c r="I78" s="811"/>
      <c r="J78" s="811"/>
    </row>
    <row r="79" spans="1:10" s="196" customFormat="1" ht="14.25" customHeight="1">
      <c r="A79" s="686"/>
      <c r="B79" s="666"/>
      <c r="C79" s="666"/>
      <c r="D79" s="667"/>
      <c r="G79" s="812" t="s">
        <v>233</v>
      </c>
      <c r="H79" s="812"/>
      <c r="I79" s="812"/>
      <c r="J79" s="812"/>
    </row>
    <row r="80" spans="1:11" s="196" customFormat="1" ht="14.25" customHeight="1">
      <c r="A80" s="479"/>
      <c r="B80" s="480"/>
      <c r="C80" s="481"/>
      <c r="D80" s="481"/>
      <c r="E80" s="667">
        <f>SUM(F80:H80)</f>
        <v>13464634795107</v>
      </c>
      <c r="F80" s="666">
        <v>7828296457329</v>
      </c>
      <c r="G80" s="687">
        <v>4401077760630</v>
      </c>
      <c r="H80" s="687">
        <v>1235260577148</v>
      </c>
      <c r="I80" s="482"/>
      <c r="J80" s="482"/>
      <c r="K80" s="659">
        <f>F60-'[10]PL08-B03'!$F$60</f>
        <v>507978170593</v>
      </c>
    </row>
    <row r="81" spans="1:11" s="196" customFormat="1" ht="21.75" customHeight="1">
      <c r="A81" s="479"/>
      <c r="B81" s="480"/>
      <c r="C81" s="481"/>
      <c r="D81" s="481"/>
      <c r="E81" s="469">
        <f>E75-E80</f>
        <v>19344210600</v>
      </c>
      <c r="F81" s="469">
        <f>F75-F80</f>
        <v>25000000000</v>
      </c>
      <c r="G81" s="469">
        <f>G75-G80</f>
        <v>-5655789400</v>
      </c>
      <c r="H81" s="469">
        <f>H75-H80</f>
        <v>0</v>
      </c>
      <c r="I81" s="482"/>
      <c r="J81" s="482"/>
      <c r="K81" s="659">
        <f>G60-'[10]PL08-B03'!$G$60</f>
        <v>-17977576831</v>
      </c>
    </row>
    <row r="82" spans="1:11" s="196" customFormat="1" ht="21.75" customHeight="1">
      <c r="A82" s="479"/>
      <c r="B82" s="480"/>
      <c r="C82" s="481"/>
      <c r="D82" s="481"/>
      <c r="E82" s="469"/>
      <c r="F82" s="469"/>
      <c r="G82" s="469"/>
      <c r="H82" s="469"/>
      <c r="I82" s="482"/>
      <c r="J82" s="482"/>
      <c r="K82" s="659">
        <f>H60-'[10]PL08-B03'!$H$60</f>
        <v>36551341149</v>
      </c>
    </row>
    <row r="83" spans="5:8" ht="12.75">
      <c r="E83" s="424" t="s">
        <v>601</v>
      </c>
      <c r="F83" s="478">
        <v>6907144769517</v>
      </c>
      <c r="G83" s="478">
        <v>4178869799784</v>
      </c>
      <c r="H83" s="478">
        <v>1127176793536</v>
      </c>
    </row>
    <row r="84" spans="6:8" ht="12.75">
      <c r="F84" s="424">
        <f>F75-F83</f>
        <v>946151687812</v>
      </c>
      <c r="G84" s="424">
        <f>G75-G83</f>
        <v>216552171446</v>
      </c>
      <c r="H84" s="424">
        <f>H75-H83</f>
        <v>108083783612</v>
      </c>
    </row>
    <row r="87" spans="5:8" ht="12.75">
      <c r="E87" s="424" t="s">
        <v>602</v>
      </c>
      <c r="F87" s="424">
        <v>6907441378517</v>
      </c>
      <c r="G87" s="424">
        <v>4179187799784</v>
      </c>
      <c r="H87" s="424">
        <v>1127263893536</v>
      </c>
    </row>
    <row r="88" spans="5:8" ht="12.75">
      <c r="E88" s="424">
        <f>SUM(F88:H88)</f>
        <v>701709000</v>
      </c>
      <c r="F88" s="424">
        <f>F87-F83</f>
        <v>296609000</v>
      </c>
      <c r="G88" s="424">
        <f>G87-G83</f>
        <v>318000000</v>
      </c>
      <c r="H88" s="424">
        <f>H87-H83</f>
        <v>87100000</v>
      </c>
    </row>
    <row r="91" spans="6:8" ht="12.75">
      <c r="F91" s="424">
        <f>F75-F83</f>
        <v>946151687812</v>
      </c>
      <c r="G91" s="424">
        <f>G75-G83</f>
        <v>216552171446</v>
      </c>
      <c r="H91" s="424">
        <f>H75-H83</f>
        <v>108083783612</v>
      </c>
    </row>
    <row r="92" spans="6:8" ht="12.75">
      <c r="F92" s="424">
        <v>6924581378517</v>
      </c>
      <c r="G92" s="424">
        <v>4179187799784</v>
      </c>
      <c r="H92" s="424">
        <v>1115845944891</v>
      </c>
    </row>
    <row r="93" spans="6:8" ht="12.75">
      <c r="F93" s="424">
        <f>F75-F92</f>
        <v>928715078812</v>
      </c>
      <c r="G93" s="424">
        <f>G75-G92</f>
        <v>216234171446</v>
      </c>
      <c r="H93" s="424">
        <f>H75-H92</f>
        <v>119414632257</v>
      </c>
    </row>
    <row r="94" spans="5:8" ht="12.75">
      <c r="E94" s="424">
        <f>SUM(F94:H94)</f>
        <v>-6423760355</v>
      </c>
      <c r="F94" s="424">
        <f>F83-F92</f>
        <v>-17436609000</v>
      </c>
      <c r="G94" s="424">
        <f>G83-G92</f>
        <v>-318000000</v>
      </c>
      <c r="H94" s="424">
        <f>H83-H92</f>
        <v>11330848645</v>
      </c>
    </row>
    <row r="98" ht="12.75">
      <c r="E98" s="424">
        <f>E75-'PL08-B03'!E69</f>
        <v>9191008222447</v>
      </c>
    </row>
  </sheetData>
  <sheetProtection/>
  <mergeCells count="16">
    <mergeCell ref="G77:J77"/>
    <mergeCell ref="G78:J78"/>
    <mergeCell ref="G79:J79"/>
    <mergeCell ref="A77:C77"/>
    <mergeCell ref="D77:F77"/>
    <mergeCell ref="A78:B78"/>
    <mergeCell ref="D78:F78"/>
    <mergeCell ref="A1:B1"/>
    <mergeCell ref="H1:J1"/>
    <mergeCell ref="A6:J6"/>
    <mergeCell ref="A7:J7"/>
    <mergeCell ref="A10:A11"/>
    <mergeCell ref="B10:B11"/>
    <mergeCell ref="C10:D10"/>
    <mergeCell ref="I10:J10"/>
    <mergeCell ref="E10:H10"/>
  </mergeCells>
  <printOptions/>
  <pageMargins left="0" right="0.15748031496062992" top="0.46" bottom="0" header="0" footer="0"/>
  <pageSetup horizontalDpi="600" verticalDpi="600" orientation="landscape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D21"/>
    </sheetView>
  </sheetViews>
  <sheetFormatPr defaultColWidth="9.140625" defaultRowHeight="12.75"/>
  <cols>
    <col min="1" max="1" width="23.421875" style="0" customWidth="1"/>
    <col min="2" max="2" width="20.7109375" style="376" customWidth="1"/>
    <col min="3" max="3" width="20.8515625" style="376" customWidth="1"/>
    <col min="4" max="4" width="19.8515625" style="376" customWidth="1"/>
    <col min="5" max="5" width="16.421875" style="0" bestFit="1" customWidth="1"/>
  </cols>
  <sheetData>
    <row r="1" spans="1:4" ht="21.75" customHeight="1">
      <c r="A1" s="278" t="s">
        <v>547</v>
      </c>
      <c r="B1" s="371" t="s">
        <v>548</v>
      </c>
      <c r="C1" s="371" t="s">
        <v>549</v>
      </c>
      <c r="D1" s="371" t="s">
        <v>550</v>
      </c>
    </row>
    <row r="2" spans="1:4" ht="21.75" customHeight="1">
      <c r="A2" s="369" t="s">
        <v>551</v>
      </c>
      <c r="B2" s="372">
        <f>'Can doi'!C5</f>
        <v>7891137354189</v>
      </c>
      <c r="C2" s="373">
        <f>'Can doi'!H5</f>
        <v>7853296457329</v>
      </c>
      <c r="D2" s="373">
        <f>B2-C2</f>
        <v>37840896860</v>
      </c>
    </row>
    <row r="3" spans="1:5" ht="21.75" customHeight="1">
      <c r="A3" s="369" t="s">
        <v>552</v>
      </c>
      <c r="B3" s="373">
        <f>SUM(B4:B11)</f>
        <v>4544452608340</v>
      </c>
      <c r="C3" s="373">
        <f>SUM(C4:C11)</f>
        <v>4395421971230</v>
      </c>
      <c r="D3" s="373">
        <f>SUM(D4:D11)</f>
        <v>149030637110</v>
      </c>
      <c r="E3" s="164"/>
    </row>
    <row r="4" spans="1:4" ht="21.75" customHeight="1">
      <c r="A4" s="370" t="s">
        <v>553</v>
      </c>
      <c r="B4" s="374">
        <v>562771991279</v>
      </c>
      <c r="C4" s="375">
        <v>521324235030</v>
      </c>
      <c r="D4" s="373">
        <f>B4-C4</f>
        <v>41447756249</v>
      </c>
    </row>
    <row r="5" spans="1:4" ht="21.75" customHeight="1">
      <c r="A5" s="370" t="s">
        <v>554</v>
      </c>
      <c r="B5" s="374">
        <v>517102673263</v>
      </c>
      <c r="C5" s="375">
        <v>510465428805</v>
      </c>
      <c r="D5" s="373">
        <f aca="true" t="shared" si="0" ref="D5:D20">B5-C5</f>
        <v>6637244458</v>
      </c>
    </row>
    <row r="6" spans="1:4" ht="21.75" customHeight="1">
      <c r="A6" s="370" t="s">
        <v>555</v>
      </c>
      <c r="B6" s="374">
        <v>553505217264</v>
      </c>
      <c r="C6" s="375">
        <v>541981089706</v>
      </c>
      <c r="D6" s="373">
        <f t="shared" si="0"/>
        <v>11524127558</v>
      </c>
    </row>
    <row r="7" spans="1:4" ht="21.75" customHeight="1">
      <c r="A7" s="370" t="s">
        <v>692</v>
      </c>
      <c r="B7" s="374">
        <v>462675247529</v>
      </c>
      <c r="C7" s="375">
        <v>457412796992</v>
      </c>
      <c r="D7" s="373">
        <f t="shared" si="0"/>
        <v>5262450537</v>
      </c>
    </row>
    <row r="8" spans="1:4" ht="21.75" customHeight="1">
      <c r="A8" s="370" t="s">
        <v>556</v>
      </c>
      <c r="B8" s="374">
        <v>722524196647</v>
      </c>
      <c r="C8" s="375">
        <v>712606947237</v>
      </c>
      <c r="D8" s="373">
        <f t="shared" si="0"/>
        <v>9917249410</v>
      </c>
    </row>
    <row r="9" spans="1:4" ht="21.75" customHeight="1">
      <c r="A9" s="370" t="s">
        <v>557</v>
      </c>
      <c r="B9" s="374">
        <v>631711906757</v>
      </c>
      <c r="C9" s="375">
        <v>577172709142</v>
      </c>
      <c r="D9" s="373">
        <f t="shared" si="0"/>
        <v>54539197615</v>
      </c>
    </row>
    <row r="10" spans="1:4" ht="21.75" customHeight="1">
      <c r="A10" s="370" t="s">
        <v>558</v>
      </c>
      <c r="B10" s="374">
        <v>393249418854</v>
      </c>
      <c r="C10" s="375">
        <v>386981872686</v>
      </c>
      <c r="D10" s="373">
        <f t="shared" si="0"/>
        <v>6267546168</v>
      </c>
    </row>
    <row r="11" spans="1:4" ht="21.75" customHeight="1">
      <c r="A11" s="370" t="s">
        <v>559</v>
      </c>
      <c r="B11" s="374">
        <v>700911956747</v>
      </c>
      <c r="C11" s="375">
        <v>687476891632</v>
      </c>
      <c r="D11" s="373">
        <f t="shared" si="0"/>
        <v>13435065115</v>
      </c>
    </row>
    <row r="12" spans="1:4" ht="21.75" customHeight="1">
      <c r="A12" s="369" t="s">
        <v>560</v>
      </c>
      <c r="B12" s="373">
        <f>SUM(B13:B20)</f>
        <v>1287438492507</v>
      </c>
      <c r="C12" s="373">
        <f>SUM(C13:C20)</f>
        <v>1235260577148</v>
      </c>
      <c r="D12" s="373">
        <f t="shared" si="0"/>
        <v>52177915359</v>
      </c>
    </row>
    <row r="13" spans="1:4" ht="21.75" customHeight="1">
      <c r="A13" s="370" t="s">
        <v>553</v>
      </c>
      <c r="B13" s="374">
        <v>114464051853</v>
      </c>
      <c r="C13" s="375">
        <v>110202250092</v>
      </c>
      <c r="D13" s="373">
        <f t="shared" si="0"/>
        <v>4261801761</v>
      </c>
    </row>
    <row r="14" spans="1:4" ht="21.75" customHeight="1">
      <c r="A14" s="370" t="s">
        <v>554</v>
      </c>
      <c r="B14" s="374">
        <v>179745181316</v>
      </c>
      <c r="C14" s="375">
        <v>172126864943</v>
      </c>
      <c r="D14" s="373">
        <f t="shared" si="0"/>
        <v>7618316373</v>
      </c>
    </row>
    <row r="15" spans="1:4" ht="21.75" customHeight="1">
      <c r="A15" s="370" t="s">
        <v>555</v>
      </c>
      <c r="B15" s="374">
        <v>137244951230</v>
      </c>
      <c r="C15" s="375">
        <v>130667707639</v>
      </c>
      <c r="D15" s="373">
        <f t="shared" si="0"/>
        <v>6577243591</v>
      </c>
    </row>
    <row r="16" spans="1:4" ht="21.75" customHeight="1">
      <c r="A16" s="370" t="s">
        <v>692</v>
      </c>
      <c r="B16" s="374">
        <v>148149108883</v>
      </c>
      <c r="C16" s="375">
        <v>141875599230</v>
      </c>
      <c r="D16" s="373">
        <f t="shared" si="0"/>
        <v>6273509653</v>
      </c>
    </row>
    <row r="17" spans="1:4" ht="21.75" customHeight="1">
      <c r="A17" s="370" t="s">
        <v>556</v>
      </c>
      <c r="B17" s="374">
        <v>227264550449</v>
      </c>
      <c r="C17" s="375">
        <v>226454409345</v>
      </c>
      <c r="D17" s="373">
        <f t="shared" si="0"/>
        <v>810141104</v>
      </c>
    </row>
    <row r="18" spans="1:4" ht="21.75" customHeight="1">
      <c r="A18" s="370" t="s">
        <v>557</v>
      </c>
      <c r="B18" s="374">
        <v>145283303992</v>
      </c>
      <c r="C18" s="375">
        <v>134298484340</v>
      </c>
      <c r="D18" s="373">
        <f t="shared" si="0"/>
        <v>10984819652</v>
      </c>
    </row>
    <row r="19" spans="1:4" ht="21.75" customHeight="1">
      <c r="A19" s="370" t="s">
        <v>558</v>
      </c>
      <c r="B19" s="374">
        <v>158142565593</v>
      </c>
      <c r="C19" s="375">
        <v>147365789186</v>
      </c>
      <c r="D19" s="373">
        <f t="shared" si="0"/>
        <v>10776776407</v>
      </c>
    </row>
    <row r="20" spans="1:4" ht="21.75" customHeight="1">
      <c r="A20" s="370" t="s">
        <v>559</v>
      </c>
      <c r="B20" s="374">
        <v>177144779191</v>
      </c>
      <c r="C20" s="375">
        <v>172269472373</v>
      </c>
      <c r="D20" s="373">
        <f t="shared" si="0"/>
        <v>4875306818</v>
      </c>
    </row>
    <row r="21" spans="1:4" ht="21.75" customHeight="1">
      <c r="A21" s="369" t="s">
        <v>561</v>
      </c>
      <c r="B21" s="373">
        <f>B12+B3+B2</f>
        <v>13723028455036</v>
      </c>
      <c r="C21" s="373">
        <f>C12+C3+C2</f>
        <v>13483979005707</v>
      </c>
      <c r="D21" s="373">
        <f>B21-C21</f>
        <v>239049449329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2" sqref="H12"/>
    </sheetView>
  </sheetViews>
  <sheetFormatPr defaultColWidth="9.140625" defaultRowHeight="12.75"/>
  <cols>
    <col min="1" max="1" width="28.140625" style="0" customWidth="1"/>
    <col min="2" max="2" width="19.8515625" style="611" customWidth="1"/>
    <col min="3" max="3" width="18.7109375" style="611" customWidth="1"/>
    <col min="4" max="4" width="16.7109375" style="199" customWidth="1"/>
  </cols>
  <sheetData>
    <row r="1" spans="1:4" ht="21.75" customHeight="1">
      <c r="A1" s="612" t="s">
        <v>547</v>
      </c>
      <c r="B1" s="598" t="s">
        <v>212</v>
      </c>
      <c r="C1" s="598" t="s">
        <v>213</v>
      </c>
      <c r="D1" s="598" t="s">
        <v>693</v>
      </c>
    </row>
    <row r="2" spans="1:6" ht="21.75" customHeight="1">
      <c r="A2" s="613" t="s">
        <v>551</v>
      </c>
      <c r="B2" s="614">
        <v>3725306952538</v>
      </c>
      <c r="C2" s="614">
        <v>3680757794963</v>
      </c>
      <c r="D2" s="614">
        <f>B2-C2</f>
        <v>44549157575</v>
      </c>
      <c r="E2" s="615"/>
      <c r="F2" s="615"/>
    </row>
    <row r="3" spans="1:6" ht="21.75" customHeight="1">
      <c r="A3" s="616" t="s">
        <v>552</v>
      </c>
      <c r="B3" s="617">
        <f>SUM(B4:B11)</f>
        <v>3596082128454</v>
      </c>
      <c r="C3" s="617">
        <f>SUM(C4:C11)</f>
        <v>3460138385698</v>
      </c>
      <c r="D3" s="617">
        <f>SUM(D4:D11)</f>
        <v>135943742756</v>
      </c>
      <c r="E3" s="618"/>
      <c r="F3" s="618"/>
    </row>
    <row r="4" spans="1:6" ht="21.75" customHeight="1">
      <c r="A4" s="619" t="s">
        <v>553</v>
      </c>
      <c r="B4" s="620">
        <v>478936198045</v>
      </c>
      <c r="C4" s="620">
        <v>436030562459</v>
      </c>
      <c r="D4" s="621">
        <v>42905635586</v>
      </c>
      <c r="E4" s="618"/>
      <c r="F4" s="618"/>
    </row>
    <row r="5" spans="1:6" ht="21.75" customHeight="1">
      <c r="A5" s="619" t="s">
        <v>554</v>
      </c>
      <c r="B5" s="620">
        <v>400614987497</v>
      </c>
      <c r="C5" s="620">
        <v>391488670414</v>
      </c>
      <c r="D5" s="621">
        <v>9126317083</v>
      </c>
      <c r="E5" s="618"/>
      <c r="F5" s="618"/>
    </row>
    <row r="6" spans="1:6" ht="21.75" customHeight="1">
      <c r="A6" s="619" t="s">
        <v>555</v>
      </c>
      <c r="B6" s="620">
        <v>483619007251</v>
      </c>
      <c r="C6" s="620">
        <v>477076520612</v>
      </c>
      <c r="D6" s="621">
        <v>6542486639</v>
      </c>
      <c r="E6" s="618"/>
      <c r="F6" s="618"/>
    </row>
    <row r="7" spans="1:6" ht="21.75" customHeight="1">
      <c r="A7" s="619" t="s">
        <v>692</v>
      </c>
      <c r="B7" s="620">
        <v>273538022592</v>
      </c>
      <c r="C7" s="620">
        <v>256386407601</v>
      </c>
      <c r="D7" s="621">
        <v>17151614991</v>
      </c>
      <c r="E7" s="618"/>
      <c r="F7" s="618"/>
    </row>
    <row r="8" spans="1:6" ht="21.75" customHeight="1">
      <c r="A8" s="619" t="s">
        <v>556</v>
      </c>
      <c r="B8" s="620">
        <v>616410602642</v>
      </c>
      <c r="C8" s="620">
        <v>603807282652</v>
      </c>
      <c r="D8" s="621">
        <v>12603319990</v>
      </c>
      <c r="E8" s="618"/>
      <c r="F8" s="618"/>
    </row>
    <row r="9" spans="1:6" ht="21.75" customHeight="1">
      <c r="A9" s="619" t="s">
        <v>557</v>
      </c>
      <c r="B9" s="620">
        <v>522980450871</v>
      </c>
      <c r="C9" s="620">
        <v>492332806799</v>
      </c>
      <c r="D9" s="621">
        <v>30647644072</v>
      </c>
      <c r="E9" s="618"/>
      <c r="F9" s="618"/>
    </row>
    <row r="10" spans="1:6" ht="21.75" customHeight="1">
      <c r="A10" s="619" t="s">
        <v>558</v>
      </c>
      <c r="B10" s="620">
        <v>293042470990</v>
      </c>
      <c r="C10" s="620">
        <v>282697253644</v>
      </c>
      <c r="D10" s="621">
        <v>10345217346</v>
      </c>
      <c r="E10" s="618"/>
      <c r="F10" s="618"/>
    </row>
    <row r="11" spans="1:6" ht="21.75" customHeight="1">
      <c r="A11" s="619" t="s">
        <v>559</v>
      </c>
      <c r="B11" s="620">
        <v>526940388566</v>
      </c>
      <c r="C11" s="620">
        <v>520318881517</v>
      </c>
      <c r="D11" s="621">
        <v>6621507049</v>
      </c>
      <c r="E11" s="618"/>
      <c r="F11" s="618"/>
    </row>
    <row r="12" spans="1:6" ht="21.75" customHeight="1">
      <c r="A12" s="616" t="s">
        <v>560</v>
      </c>
      <c r="B12" s="617">
        <v>1172456692541</v>
      </c>
      <c r="C12" s="617">
        <v>1127263893536</v>
      </c>
      <c r="D12" s="617">
        <v>45192799005</v>
      </c>
      <c r="E12" s="618"/>
      <c r="F12" s="618"/>
    </row>
    <row r="13" spans="1:6" ht="21.75" customHeight="1">
      <c r="A13" s="619" t="s">
        <v>553</v>
      </c>
      <c r="B13" s="622">
        <v>84973804794</v>
      </c>
      <c r="C13" s="622">
        <v>80572849611</v>
      </c>
      <c r="D13" s="621">
        <v>4400955183</v>
      </c>
      <c r="E13" s="618"/>
      <c r="F13" s="618"/>
    </row>
    <row r="14" spans="1:6" ht="21.75" customHeight="1">
      <c r="A14" s="619" t="s">
        <v>554</v>
      </c>
      <c r="B14" s="622">
        <v>150342900074</v>
      </c>
      <c r="C14" s="622">
        <v>142337213566</v>
      </c>
      <c r="D14" s="621">
        <v>8005686508</v>
      </c>
      <c r="E14" s="618"/>
      <c r="F14" s="618"/>
    </row>
    <row r="15" spans="1:6" ht="21.75" customHeight="1">
      <c r="A15" s="619" t="s">
        <v>555</v>
      </c>
      <c r="B15" s="622">
        <v>141204583679</v>
      </c>
      <c r="C15" s="622">
        <v>135578187961</v>
      </c>
      <c r="D15" s="621">
        <v>5626395718</v>
      </c>
      <c r="E15" s="618"/>
      <c r="F15" s="618"/>
    </row>
    <row r="16" spans="1:6" ht="21.75" customHeight="1">
      <c r="A16" s="619" t="s">
        <v>692</v>
      </c>
      <c r="B16" s="622">
        <v>128157345511</v>
      </c>
      <c r="C16" s="622">
        <v>126541233244</v>
      </c>
      <c r="D16" s="621">
        <v>1616112267</v>
      </c>
      <c r="E16" s="618"/>
      <c r="F16" s="618"/>
    </row>
    <row r="17" spans="1:6" ht="21.75" customHeight="1">
      <c r="A17" s="619" t="s">
        <v>556</v>
      </c>
      <c r="B17" s="622">
        <v>239003006074</v>
      </c>
      <c r="C17" s="622">
        <v>238084053706</v>
      </c>
      <c r="D17" s="621">
        <v>918952368</v>
      </c>
      <c r="E17" s="618"/>
      <c r="F17" s="618"/>
    </row>
    <row r="18" spans="1:6" ht="21.75" customHeight="1">
      <c r="A18" s="619" t="s">
        <v>557</v>
      </c>
      <c r="B18" s="622">
        <v>120557206963</v>
      </c>
      <c r="C18" s="622">
        <v>110905826125</v>
      </c>
      <c r="D18" s="621">
        <v>9651380838</v>
      </c>
      <c r="E18" s="618"/>
      <c r="F18" s="618"/>
    </row>
    <row r="19" spans="1:6" ht="21.75" customHeight="1">
      <c r="A19" s="619" t="s">
        <v>558</v>
      </c>
      <c r="B19" s="622">
        <v>137452869088</v>
      </c>
      <c r="C19" s="622">
        <v>128366674534</v>
      </c>
      <c r="D19" s="621">
        <v>9086194554</v>
      </c>
      <c r="E19" s="618"/>
      <c r="F19" s="618"/>
    </row>
    <row r="20" spans="1:6" ht="21.75" customHeight="1">
      <c r="A20" s="624" t="s">
        <v>559</v>
      </c>
      <c r="B20" s="625">
        <v>170764976358</v>
      </c>
      <c r="C20" s="625">
        <v>164877854789</v>
      </c>
      <c r="D20" s="626">
        <v>5887121569</v>
      </c>
      <c r="E20" s="618"/>
      <c r="F20" s="618"/>
    </row>
    <row r="21" spans="1:6" ht="21.75" customHeight="1">
      <c r="A21" s="369" t="s">
        <v>561</v>
      </c>
      <c r="B21" s="627">
        <v>8493845773533</v>
      </c>
      <c r="C21" s="627">
        <v>8268160074197</v>
      </c>
      <c r="D21" s="627">
        <v>225685699336</v>
      </c>
      <c r="E21" s="623"/>
      <c r="F21" s="623"/>
    </row>
    <row r="26" spans="1:2" ht="15">
      <c r="A26" s="377" t="e">
        <f>#REF!/1000000</f>
        <v>#REF!</v>
      </c>
      <c r="B26" s="611" t="e">
        <f>#REF!-#REF!</f>
        <v>#REF!</v>
      </c>
    </row>
    <row r="27" ht="15">
      <c r="A27" s="377" t="e">
        <f>#REF!/1000000</f>
        <v>#REF!</v>
      </c>
    </row>
    <row r="28" ht="15">
      <c r="A28" s="377" t="e">
        <f>#REF!/1000000</f>
        <v>#REF!</v>
      </c>
    </row>
    <row r="29" ht="15">
      <c r="A29" s="377" t="e">
        <f>#REF!/1000000</f>
        <v>#REF!</v>
      </c>
    </row>
    <row r="30" ht="15">
      <c r="A30" s="377" t="e">
        <f>#REF!/1000000</f>
        <v>#REF!</v>
      </c>
    </row>
    <row r="31" ht="15">
      <c r="A31" s="377" t="e">
        <f>#REF!/1000000</f>
        <v>#REF!</v>
      </c>
    </row>
    <row r="32" ht="15">
      <c r="A32" s="377" t="e">
        <f>#REF!/1000000</f>
        <v>#REF!</v>
      </c>
    </row>
    <row r="33" ht="15">
      <c r="A33" s="377" t="e">
        <f>#REF!/1000000</f>
        <v>#REF!</v>
      </c>
    </row>
    <row r="34" ht="15">
      <c r="A34" s="164">
        <f>'[8]PL6.51'!J15+'[8]PL6.51'!J23</f>
        <v>0</v>
      </c>
    </row>
    <row r="35" ht="15">
      <c r="A35" s="164">
        <f>'[8]PL6.51'!J16+'[8]PL6.51'!J24</f>
        <v>0</v>
      </c>
    </row>
    <row r="36" ht="15">
      <c r="A36" s="164">
        <f>'[8]PL6.51'!J17+'[8]PL6.51'!J25</f>
        <v>0</v>
      </c>
    </row>
    <row r="37" ht="15">
      <c r="A37" s="164">
        <f>'[8]PL6.51'!J18+'[8]PL6.51'!J26</f>
        <v>0</v>
      </c>
    </row>
    <row r="38" ht="15">
      <c r="A38" s="164">
        <f>'[8]PL6.51'!J19+'[8]PL6.51'!J27</f>
        <v>0</v>
      </c>
    </row>
    <row r="39" ht="15">
      <c r="A39" s="164">
        <f>'[8]PL6.51'!J20+'[8]PL6.51'!J28</f>
        <v>0</v>
      </c>
    </row>
    <row r="40" ht="15">
      <c r="A40" s="164">
        <f>'[8]PL6.51'!J21+'[8]PL6.51'!J29</f>
        <v>651890</v>
      </c>
    </row>
    <row r="41" ht="15">
      <c r="A41" s="164">
        <f>'[8]PL6.51'!J14+'[8]PL6.51'!J22</f>
        <v>651890</v>
      </c>
    </row>
    <row r="43" ht="15">
      <c r="A43" s="278" t="s">
        <v>547</v>
      </c>
    </row>
    <row r="44" ht="15">
      <c r="A44" s="369" t="s">
        <v>551</v>
      </c>
    </row>
    <row r="45" ht="15">
      <c r="A45" s="369" t="s">
        <v>552</v>
      </c>
    </row>
    <row r="46" ht="15">
      <c r="A46" s="370" t="s">
        <v>553</v>
      </c>
    </row>
    <row r="47" ht="15">
      <c r="A47" s="370" t="s">
        <v>554</v>
      </c>
    </row>
    <row r="48" ht="15">
      <c r="A48" s="370" t="s">
        <v>555</v>
      </c>
    </row>
    <row r="49" ht="15">
      <c r="A49" s="370" t="s">
        <v>692</v>
      </c>
    </row>
    <row r="50" ht="15">
      <c r="A50" s="370" t="s">
        <v>556</v>
      </c>
    </row>
    <row r="51" ht="15">
      <c r="A51" s="370" t="s">
        <v>557</v>
      </c>
    </row>
    <row r="52" ht="15">
      <c r="A52" s="370" t="s">
        <v>558</v>
      </c>
    </row>
    <row r="53" ht="15">
      <c r="A53" s="370" t="s">
        <v>559</v>
      </c>
    </row>
    <row r="54" ht="15">
      <c r="A54" s="369" t="s">
        <v>560</v>
      </c>
    </row>
    <row r="55" ht="15">
      <c r="A55" s="370" t="s">
        <v>553</v>
      </c>
    </row>
    <row r="56" ht="15">
      <c r="A56" s="370" t="s">
        <v>554</v>
      </c>
    </row>
    <row r="57" ht="15">
      <c r="A57" s="370" t="s">
        <v>555</v>
      </c>
    </row>
    <row r="58" ht="15">
      <c r="A58" s="370" t="s">
        <v>692</v>
      </c>
    </row>
    <row r="59" ht="15">
      <c r="A59" s="370" t="s">
        <v>556</v>
      </c>
    </row>
    <row r="60" ht="15">
      <c r="A60" s="370" t="s">
        <v>557</v>
      </c>
    </row>
    <row r="61" ht="15">
      <c r="A61" s="370" t="s">
        <v>558</v>
      </c>
    </row>
    <row r="62" ht="15">
      <c r="A62" s="370" t="s">
        <v>559</v>
      </c>
    </row>
    <row r="63" ht="15">
      <c r="A63" s="369" t="s">
        <v>561</v>
      </c>
    </row>
  </sheetData>
  <sheetProtection/>
  <printOptions/>
  <pageMargins left="0.2" right="0.2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H39" sqref="H39"/>
    </sheetView>
  </sheetViews>
  <sheetFormatPr defaultColWidth="16.8515625" defaultRowHeight="12.75"/>
  <cols>
    <col min="1" max="1" width="21.00390625" style="3" customWidth="1"/>
    <col min="2" max="2" width="15.140625" style="3" customWidth="1"/>
    <col min="3" max="3" width="15.00390625" style="3" customWidth="1"/>
    <col min="4" max="4" width="15.421875" style="3" customWidth="1"/>
    <col min="5" max="5" width="15.00390625" style="3" customWidth="1"/>
    <col min="6" max="6" width="14.421875" style="3" customWidth="1"/>
    <col min="7" max="7" width="15.00390625" style="3" customWidth="1"/>
    <col min="8" max="8" width="12.28125" style="3" customWidth="1"/>
    <col min="9" max="9" width="14.140625" style="3" customWidth="1"/>
    <col min="10" max="10" width="13.8515625" style="3" customWidth="1"/>
    <col min="11" max="11" width="12.7109375" style="3" customWidth="1"/>
    <col min="12" max="12" width="14.140625" style="24" customWidth="1"/>
    <col min="13" max="16384" width="16.8515625" style="3" customWidth="1"/>
  </cols>
  <sheetData>
    <row r="1" spans="1:12" ht="13.5">
      <c r="A1" s="860" t="s">
        <v>603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</row>
    <row r="4" spans="1:12" ht="13.5">
      <c r="A4" s="861" t="s">
        <v>12</v>
      </c>
      <c r="B4" s="861" t="s">
        <v>604</v>
      </c>
      <c r="C4" s="861" t="s">
        <v>581</v>
      </c>
      <c r="D4" s="861" t="s">
        <v>605</v>
      </c>
      <c r="E4" s="862" t="s">
        <v>606</v>
      </c>
      <c r="F4" s="864" t="s">
        <v>607</v>
      </c>
      <c r="G4" s="864"/>
      <c r="H4" s="864"/>
      <c r="I4" s="864"/>
      <c r="J4" s="864"/>
      <c r="K4" s="864"/>
      <c r="L4" s="472"/>
    </row>
    <row r="5" spans="1:12" ht="13.5">
      <c r="A5" s="861"/>
      <c r="B5" s="861"/>
      <c r="C5" s="861"/>
      <c r="D5" s="861"/>
      <c r="E5" s="863"/>
      <c r="F5" s="471" t="s">
        <v>608</v>
      </c>
      <c r="G5" s="471" t="s">
        <v>609</v>
      </c>
      <c r="H5" s="471" t="s">
        <v>610</v>
      </c>
      <c r="I5" s="471" t="s">
        <v>611</v>
      </c>
      <c r="J5" s="471" t="s">
        <v>520</v>
      </c>
      <c r="K5" s="471" t="s">
        <v>612</v>
      </c>
      <c r="L5" s="473" t="s">
        <v>613</v>
      </c>
    </row>
    <row r="6" spans="1:12" ht="13.5">
      <c r="A6" s="473" t="s">
        <v>614</v>
      </c>
      <c r="B6" s="473">
        <f>B7+B8</f>
        <v>11654269820</v>
      </c>
      <c r="C6" s="473">
        <f>C7+C8</f>
        <v>11654269820</v>
      </c>
      <c r="D6" s="473">
        <f>D7+D8</f>
        <v>8109104820</v>
      </c>
      <c r="E6" s="473">
        <f>SUM(F6:L6)</f>
        <v>3545165000</v>
      </c>
      <c r="F6" s="473">
        <f>F7+F8</f>
        <v>3545165000</v>
      </c>
      <c r="G6" s="473">
        <f aca="true" t="shared" si="0" ref="G6:L6">G7+G8</f>
        <v>0</v>
      </c>
      <c r="H6" s="473">
        <f t="shared" si="0"/>
        <v>0</v>
      </c>
      <c r="I6" s="473">
        <f t="shared" si="0"/>
        <v>0</v>
      </c>
      <c r="J6" s="473">
        <f t="shared" si="0"/>
        <v>0</v>
      </c>
      <c r="K6" s="473">
        <f t="shared" si="0"/>
        <v>0</v>
      </c>
      <c r="L6" s="473">
        <f t="shared" si="0"/>
        <v>0</v>
      </c>
    </row>
    <row r="7" spans="1:12" ht="13.5">
      <c r="A7" s="472" t="s">
        <v>615</v>
      </c>
      <c r="B7" s="472">
        <v>10387222000</v>
      </c>
      <c r="C7" s="472">
        <f>D7+F7</f>
        <v>10387222000</v>
      </c>
      <c r="D7" s="472">
        <v>6842057000</v>
      </c>
      <c r="E7" s="472">
        <f>SUM(F7:L7)</f>
        <v>3545165000</v>
      </c>
      <c r="F7" s="472">
        <v>3545165000</v>
      </c>
      <c r="G7" s="472"/>
      <c r="H7" s="472"/>
      <c r="I7" s="472"/>
      <c r="J7" s="472"/>
      <c r="K7" s="472"/>
      <c r="L7" s="472"/>
    </row>
    <row r="8" spans="1:12" ht="13.5">
      <c r="A8" s="472" t="s">
        <v>616</v>
      </c>
      <c r="B8" s="472">
        <v>1267047820</v>
      </c>
      <c r="C8" s="472">
        <f>D8</f>
        <v>1267047820</v>
      </c>
      <c r="D8" s="472">
        <f>B8</f>
        <v>1267047820</v>
      </c>
      <c r="E8" s="473">
        <f aca="true" t="shared" si="1" ref="E8:E29">SUM(F8:L8)</f>
        <v>0</v>
      </c>
      <c r="F8" s="472"/>
      <c r="G8" s="472"/>
      <c r="H8" s="472"/>
      <c r="I8" s="472"/>
      <c r="J8" s="472"/>
      <c r="K8" s="472"/>
      <c r="L8" s="472"/>
    </row>
    <row r="9" spans="1:12" ht="13.5">
      <c r="A9" s="474" t="s">
        <v>617</v>
      </c>
      <c r="B9" s="473">
        <f>B10+B11</f>
        <v>15536416963</v>
      </c>
      <c r="C9" s="473">
        <f>C10+C11</f>
        <v>15251627963</v>
      </c>
      <c r="D9" s="473">
        <f>D10+D11</f>
        <v>7986017415</v>
      </c>
      <c r="E9" s="473">
        <f>SUM(F9:L9)</f>
        <v>7265610548</v>
      </c>
      <c r="F9" s="473">
        <f aca="true" t="shared" si="2" ref="F9:L9">F11+F10</f>
        <v>239204200</v>
      </c>
      <c r="G9" s="473">
        <f t="shared" si="2"/>
        <v>61117000</v>
      </c>
      <c r="H9" s="473">
        <f t="shared" si="2"/>
        <v>54000000</v>
      </c>
      <c r="I9" s="473">
        <f t="shared" si="2"/>
        <v>0</v>
      </c>
      <c r="J9" s="473">
        <f t="shared" si="2"/>
        <v>2289547622</v>
      </c>
      <c r="K9" s="473">
        <f t="shared" si="2"/>
        <v>56569000</v>
      </c>
      <c r="L9" s="473">
        <f t="shared" si="2"/>
        <v>4565172726</v>
      </c>
    </row>
    <row r="10" spans="1:12" ht="13.5">
      <c r="A10" s="475" t="s">
        <v>615</v>
      </c>
      <c r="B10" s="472">
        <v>2504269622</v>
      </c>
      <c r="C10" s="472">
        <f>D10+E10</f>
        <v>2289547622</v>
      </c>
      <c r="D10" s="472"/>
      <c r="E10" s="472">
        <f t="shared" si="1"/>
        <v>2289547622</v>
      </c>
      <c r="F10" s="472"/>
      <c r="G10" s="472"/>
      <c r="H10" s="472"/>
      <c r="I10" s="472"/>
      <c r="J10" s="472">
        <v>2289547622</v>
      </c>
      <c r="K10" s="472"/>
      <c r="L10" s="472"/>
    </row>
    <row r="11" spans="1:12" ht="13.5">
      <c r="A11" s="475" t="s">
        <v>616</v>
      </c>
      <c r="B11" s="472">
        <v>13032147341</v>
      </c>
      <c r="C11" s="472">
        <f>D11+E11</f>
        <v>12962080341</v>
      </c>
      <c r="D11" s="472">
        <v>7986017415</v>
      </c>
      <c r="E11" s="472">
        <f t="shared" si="1"/>
        <v>4976062926</v>
      </c>
      <c r="F11" s="472">
        <v>239204200</v>
      </c>
      <c r="G11" s="472">
        <v>61117000</v>
      </c>
      <c r="H11" s="472">
        <v>54000000</v>
      </c>
      <c r="I11" s="472"/>
      <c r="J11" s="472"/>
      <c r="K11" s="472">
        <f>47069000+9500000</f>
        <v>56569000</v>
      </c>
      <c r="L11" s="472">
        <v>4565172726</v>
      </c>
    </row>
    <row r="12" spans="1:12" ht="13.5">
      <c r="A12" s="473" t="s">
        <v>618</v>
      </c>
      <c r="B12" s="473">
        <f>B13+B14</f>
        <v>40193688164</v>
      </c>
      <c r="C12" s="473">
        <f>C13+C14</f>
        <v>39358448613</v>
      </c>
      <c r="D12" s="473">
        <f>D13+D14</f>
        <v>28558448613</v>
      </c>
      <c r="E12" s="473">
        <f t="shared" si="1"/>
        <v>10800000000</v>
      </c>
      <c r="F12" s="472"/>
      <c r="G12" s="473">
        <f>G13</f>
        <v>10800000000</v>
      </c>
      <c r="H12" s="472"/>
      <c r="I12" s="472"/>
      <c r="J12" s="472"/>
      <c r="K12" s="472"/>
      <c r="L12" s="472"/>
    </row>
    <row r="13" spans="1:12" ht="13.5">
      <c r="A13" s="472" t="s">
        <v>615</v>
      </c>
      <c r="B13" s="472">
        <v>10800000000</v>
      </c>
      <c r="C13" s="472">
        <f>G13</f>
        <v>10800000000</v>
      </c>
      <c r="D13" s="472"/>
      <c r="E13" s="472">
        <f t="shared" si="1"/>
        <v>10800000000</v>
      </c>
      <c r="F13" s="472"/>
      <c r="G13" s="472">
        <v>10800000000</v>
      </c>
      <c r="H13" s="472"/>
      <c r="I13" s="472"/>
      <c r="J13" s="472"/>
      <c r="K13" s="472"/>
      <c r="L13" s="472"/>
    </row>
    <row r="14" spans="1:12" ht="13.5">
      <c r="A14" s="472" t="s">
        <v>616</v>
      </c>
      <c r="B14" s="472">
        <v>29393688164</v>
      </c>
      <c r="C14" s="472">
        <f>D14</f>
        <v>28558448613</v>
      </c>
      <c r="D14" s="472">
        <v>28558448613</v>
      </c>
      <c r="E14" s="473">
        <f t="shared" si="1"/>
        <v>0</v>
      </c>
      <c r="F14" s="472"/>
      <c r="G14" s="472"/>
      <c r="H14" s="472"/>
      <c r="I14" s="472"/>
      <c r="J14" s="472"/>
      <c r="K14" s="472"/>
      <c r="L14" s="472"/>
    </row>
    <row r="15" spans="1:12" ht="13.5">
      <c r="A15" s="473" t="s">
        <v>619</v>
      </c>
      <c r="B15" s="473">
        <f>B16+B17</f>
        <v>4295548800</v>
      </c>
      <c r="C15" s="473">
        <f>C17+C16</f>
        <v>3362216000</v>
      </c>
      <c r="D15" s="473">
        <f>D16+D17</f>
        <v>3362216000</v>
      </c>
      <c r="E15" s="473">
        <f t="shared" si="1"/>
        <v>0</v>
      </c>
      <c r="F15" s="472"/>
      <c r="G15" s="472"/>
      <c r="H15" s="472"/>
      <c r="I15" s="472"/>
      <c r="J15" s="472"/>
      <c r="K15" s="472"/>
      <c r="L15" s="472"/>
    </row>
    <row r="16" spans="1:12" ht="13.5">
      <c r="A16" s="472" t="s">
        <v>615</v>
      </c>
      <c r="B16" s="472"/>
      <c r="C16" s="472"/>
      <c r="D16" s="472"/>
      <c r="E16" s="473">
        <f t="shared" si="1"/>
        <v>0</v>
      </c>
      <c r="F16" s="472"/>
      <c r="G16" s="472"/>
      <c r="H16" s="472"/>
      <c r="I16" s="472"/>
      <c r="J16" s="472"/>
      <c r="K16" s="472"/>
      <c r="L16" s="472"/>
    </row>
    <row r="17" spans="1:12" ht="13.5">
      <c r="A17" s="472" t="s">
        <v>616</v>
      </c>
      <c r="B17" s="472">
        <v>4295548800</v>
      </c>
      <c r="C17" s="472">
        <f>D17</f>
        <v>3362216000</v>
      </c>
      <c r="D17" s="472">
        <v>3362216000</v>
      </c>
      <c r="E17" s="473">
        <f t="shared" si="1"/>
        <v>0</v>
      </c>
      <c r="F17" s="472"/>
      <c r="G17" s="472"/>
      <c r="H17" s="472"/>
      <c r="I17" s="472"/>
      <c r="J17" s="472"/>
      <c r="K17" s="472"/>
      <c r="L17" s="472"/>
    </row>
    <row r="18" spans="1:12" ht="13.5">
      <c r="A18" s="473" t="s">
        <v>620</v>
      </c>
      <c r="B18" s="473">
        <f>B19+B20</f>
        <v>4308143900</v>
      </c>
      <c r="C18" s="473">
        <f>C19+C20</f>
        <v>4133195500</v>
      </c>
      <c r="D18" s="473">
        <f>D20</f>
        <v>4133195500</v>
      </c>
      <c r="E18" s="473">
        <f t="shared" si="1"/>
        <v>0</v>
      </c>
      <c r="F18" s="473"/>
      <c r="G18" s="473"/>
      <c r="H18" s="473"/>
      <c r="I18" s="473"/>
      <c r="J18" s="472"/>
      <c r="K18" s="472"/>
      <c r="L18" s="472"/>
    </row>
    <row r="19" spans="1:12" ht="13.5">
      <c r="A19" s="472" t="s">
        <v>615</v>
      </c>
      <c r="B19" s="472">
        <v>0</v>
      </c>
      <c r="C19" s="472"/>
      <c r="D19" s="472"/>
      <c r="E19" s="473">
        <f t="shared" si="1"/>
        <v>0</v>
      </c>
      <c r="F19" s="472"/>
      <c r="G19" s="472"/>
      <c r="H19" s="472"/>
      <c r="I19" s="472"/>
      <c r="J19" s="472"/>
      <c r="K19" s="472"/>
      <c r="L19" s="472"/>
    </row>
    <row r="20" spans="1:12" ht="13.5">
      <c r="A20" s="472" t="s">
        <v>616</v>
      </c>
      <c r="B20" s="472">
        <v>4308143900</v>
      </c>
      <c r="C20" s="472">
        <f>D20</f>
        <v>4133195500</v>
      </c>
      <c r="D20" s="472">
        <v>4133195500</v>
      </c>
      <c r="E20" s="473">
        <f t="shared" si="1"/>
        <v>0</v>
      </c>
      <c r="F20" s="472"/>
      <c r="G20" s="472"/>
      <c r="H20" s="472"/>
      <c r="I20" s="472"/>
      <c r="J20" s="472"/>
      <c r="K20" s="472"/>
      <c r="L20" s="472"/>
    </row>
    <row r="21" spans="1:12" ht="13.5">
      <c r="A21" s="473" t="s">
        <v>621</v>
      </c>
      <c r="B21" s="473">
        <f>B22+B23</f>
        <v>7527305000</v>
      </c>
      <c r="C21" s="473">
        <f>C23</f>
        <v>7527305000</v>
      </c>
      <c r="D21" s="473">
        <f>D22+D23</f>
        <v>7527305000</v>
      </c>
      <c r="E21" s="473">
        <f t="shared" si="1"/>
        <v>0</v>
      </c>
      <c r="F21" s="472"/>
      <c r="G21" s="472"/>
      <c r="H21" s="472"/>
      <c r="I21" s="472"/>
      <c r="J21" s="472"/>
      <c r="K21" s="472"/>
      <c r="L21" s="472"/>
    </row>
    <row r="22" spans="1:12" ht="13.5">
      <c r="A22" s="472" t="s">
        <v>615</v>
      </c>
      <c r="B22" s="472">
        <v>0</v>
      </c>
      <c r="C22" s="472">
        <v>0</v>
      </c>
      <c r="D22" s="472"/>
      <c r="E22" s="473">
        <f t="shared" si="1"/>
        <v>0</v>
      </c>
      <c r="F22" s="472"/>
      <c r="G22" s="472"/>
      <c r="H22" s="472"/>
      <c r="I22" s="472"/>
      <c r="J22" s="472"/>
      <c r="K22" s="472"/>
      <c r="L22" s="472"/>
    </row>
    <row r="23" spans="1:12" ht="13.5">
      <c r="A23" s="472" t="s">
        <v>616</v>
      </c>
      <c r="B23" s="472">
        <v>7527305000</v>
      </c>
      <c r="C23" s="472">
        <f>D23</f>
        <v>7527305000</v>
      </c>
      <c r="D23" s="472">
        <f>B23</f>
        <v>7527305000</v>
      </c>
      <c r="E23" s="473">
        <f t="shared" si="1"/>
        <v>0</v>
      </c>
      <c r="F23" s="472"/>
      <c r="G23" s="472"/>
      <c r="H23" s="472"/>
      <c r="I23" s="472"/>
      <c r="J23" s="472"/>
      <c r="K23" s="472"/>
      <c r="L23" s="472"/>
    </row>
    <row r="24" spans="1:12" ht="13.5">
      <c r="A24" s="473" t="s">
        <v>622</v>
      </c>
      <c r="B24" s="473">
        <f>B25+B26</f>
        <v>10961209060</v>
      </c>
      <c r="C24" s="473">
        <f>C25+C26</f>
        <v>10961209060</v>
      </c>
      <c r="D24" s="473">
        <f>D25+D26</f>
        <v>8995205160</v>
      </c>
      <c r="E24" s="473">
        <f>E25+E26</f>
        <v>1966003900</v>
      </c>
      <c r="F24" s="472"/>
      <c r="G24" s="472"/>
      <c r="H24" s="472"/>
      <c r="I24" s="473">
        <f>I25+I26</f>
        <v>1966003900</v>
      </c>
      <c r="J24" s="472"/>
      <c r="K24" s="472"/>
      <c r="L24" s="472"/>
    </row>
    <row r="25" spans="1:12" ht="13.5">
      <c r="A25" s="472" t="s">
        <v>615</v>
      </c>
      <c r="B25" s="472">
        <v>0</v>
      </c>
      <c r="C25" s="472"/>
      <c r="D25" s="472"/>
      <c r="E25" s="473">
        <f t="shared" si="1"/>
        <v>0</v>
      </c>
      <c r="F25" s="472"/>
      <c r="G25" s="472"/>
      <c r="H25" s="472"/>
      <c r="I25" s="472"/>
      <c r="J25" s="472"/>
      <c r="K25" s="472"/>
      <c r="L25" s="472"/>
    </row>
    <row r="26" spans="1:12" ht="13.5">
      <c r="A26" s="472" t="s">
        <v>616</v>
      </c>
      <c r="B26" s="472">
        <v>10961209060</v>
      </c>
      <c r="C26" s="472">
        <f>D26+E26</f>
        <v>10961209060</v>
      </c>
      <c r="D26" s="472">
        <v>8995205160</v>
      </c>
      <c r="E26" s="472">
        <f t="shared" si="1"/>
        <v>1966003900</v>
      </c>
      <c r="F26" s="472"/>
      <c r="G26" s="472"/>
      <c r="H26" s="472"/>
      <c r="I26" s="472">
        <v>1966003900</v>
      </c>
      <c r="J26" s="472"/>
      <c r="K26" s="472"/>
      <c r="L26" s="472"/>
    </row>
    <row r="27" spans="1:12" ht="13.5">
      <c r="A27" s="473" t="s">
        <v>623</v>
      </c>
      <c r="B27" s="473">
        <f>B28+B29</f>
        <v>13607324040</v>
      </c>
      <c r="C27" s="473">
        <f>C28+C29</f>
        <v>13339174040</v>
      </c>
      <c r="D27" s="473">
        <f>D28+D29</f>
        <v>12608974040</v>
      </c>
      <c r="E27" s="473">
        <f t="shared" si="1"/>
        <v>730200000</v>
      </c>
      <c r="F27" s="472"/>
      <c r="G27" s="472"/>
      <c r="H27" s="473">
        <f>H28</f>
        <v>730200000</v>
      </c>
      <c r="I27" s="472"/>
      <c r="J27" s="472"/>
      <c r="K27" s="472"/>
      <c r="L27" s="472"/>
    </row>
    <row r="28" spans="1:12" ht="13.5">
      <c r="A28" s="472" t="s">
        <v>615</v>
      </c>
      <c r="B28" s="472">
        <v>1553203000</v>
      </c>
      <c r="C28" s="472">
        <f>D28+E28</f>
        <v>1285053000</v>
      </c>
      <c r="D28" s="472">
        <f>454853000+100000000</f>
        <v>554853000</v>
      </c>
      <c r="E28" s="472">
        <f t="shared" si="1"/>
        <v>730200000</v>
      </c>
      <c r="F28" s="472"/>
      <c r="G28" s="472"/>
      <c r="H28" s="472">
        <f>653000000+77200000</f>
        <v>730200000</v>
      </c>
      <c r="I28" s="472"/>
      <c r="J28" s="472"/>
      <c r="K28" s="472"/>
      <c r="L28" s="472"/>
    </row>
    <row r="29" spans="1:12" ht="13.5">
      <c r="A29" s="472" t="s">
        <v>616</v>
      </c>
      <c r="B29" s="472">
        <v>12054121040</v>
      </c>
      <c r="C29" s="472">
        <f>D29</f>
        <v>12054121040</v>
      </c>
      <c r="D29" s="472">
        <v>12054121040</v>
      </c>
      <c r="E29" s="473">
        <f t="shared" si="1"/>
        <v>0</v>
      </c>
      <c r="F29" s="472"/>
      <c r="G29" s="472"/>
      <c r="H29" s="472"/>
      <c r="I29" s="472"/>
      <c r="J29" s="472"/>
      <c r="K29" s="472"/>
      <c r="L29" s="472"/>
    </row>
    <row r="30" spans="1:12" s="196" customFormat="1" ht="12.75">
      <c r="A30" s="476"/>
      <c r="B30" s="477">
        <f>B6+B9+B12+B15+B18+B21+B24+B27</f>
        <v>108083905747</v>
      </c>
      <c r="C30" s="477">
        <f>C6+C9+C12+C15+C18+C21+C24+C27</f>
        <v>105587445996</v>
      </c>
      <c r="D30" s="477">
        <f>D6+D9+D12+D15+D18+D21+D24+D27</f>
        <v>81280466548</v>
      </c>
      <c r="E30" s="477">
        <f aca="true" t="shared" si="3" ref="E30:L30">E6+E9+E12+E15+E18+E21+E24+E27</f>
        <v>24306979448</v>
      </c>
      <c r="F30" s="477">
        <f t="shared" si="3"/>
        <v>3784369200</v>
      </c>
      <c r="G30" s="477">
        <f t="shared" si="3"/>
        <v>10861117000</v>
      </c>
      <c r="H30" s="477">
        <f t="shared" si="3"/>
        <v>784200000</v>
      </c>
      <c r="I30" s="477">
        <f t="shared" si="3"/>
        <v>1966003900</v>
      </c>
      <c r="J30" s="477">
        <f t="shared" si="3"/>
        <v>2289547622</v>
      </c>
      <c r="K30" s="477">
        <f t="shared" si="3"/>
        <v>56569000</v>
      </c>
      <c r="L30" s="477">
        <f t="shared" si="3"/>
        <v>4565172726</v>
      </c>
    </row>
    <row r="31" spans="2:12" s="196" customFormat="1" ht="12.75">
      <c r="B31" s="477">
        <f>B7+B10+B13+B16+B19+B22+B25+B28</f>
        <v>25244694622</v>
      </c>
      <c r="C31" s="477">
        <f>C7+C10+C13+C16+C19+C22+C25+C28</f>
        <v>24761822622</v>
      </c>
      <c r="D31" s="477">
        <f aca="true" t="shared" si="4" ref="D31:L32">D7+D10+D13+D16+D19+D22+D25+D28</f>
        <v>7396910000</v>
      </c>
      <c r="E31" s="477">
        <f t="shared" si="4"/>
        <v>17364912622</v>
      </c>
      <c r="F31" s="477">
        <f t="shared" si="4"/>
        <v>3545165000</v>
      </c>
      <c r="G31" s="477">
        <f t="shared" si="4"/>
        <v>10800000000</v>
      </c>
      <c r="H31" s="477">
        <f t="shared" si="4"/>
        <v>730200000</v>
      </c>
      <c r="I31" s="477">
        <f t="shared" si="4"/>
        <v>0</v>
      </c>
      <c r="J31" s="477">
        <f t="shared" si="4"/>
        <v>2289547622</v>
      </c>
      <c r="K31" s="477">
        <f t="shared" si="4"/>
        <v>0</v>
      </c>
      <c r="L31" s="477">
        <f t="shared" si="4"/>
        <v>0</v>
      </c>
    </row>
    <row r="32" spans="2:12" s="196" customFormat="1" ht="12.75">
      <c r="B32" s="477">
        <f>B8+B11+B14+B17+B20+B23+B26+B29</f>
        <v>82839211125</v>
      </c>
      <c r="C32" s="477">
        <f>C8+C11+C14+C17+C20+C23+C26+C29</f>
        <v>80825623374</v>
      </c>
      <c r="D32" s="477">
        <f t="shared" si="4"/>
        <v>73883556548</v>
      </c>
      <c r="E32" s="477">
        <f>E8+E11+E14+E17+E20+E23+E26+E29</f>
        <v>6942066826</v>
      </c>
      <c r="F32" s="477">
        <f t="shared" si="4"/>
        <v>239204200</v>
      </c>
      <c r="G32" s="477">
        <f t="shared" si="4"/>
        <v>61117000</v>
      </c>
      <c r="H32" s="477">
        <f t="shared" si="4"/>
        <v>54000000</v>
      </c>
      <c r="I32" s="477">
        <f t="shared" si="4"/>
        <v>1966003900</v>
      </c>
      <c r="J32" s="477">
        <f t="shared" si="4"/>
        <v>0</v>
      </c>
      <c r="K32" s="477">
        <f t="shared" si="4"/>
        <v>56569000</v>
      </c>
      <c r="L32" s="477">
        <f t="shared" si="4"/>
        <v>4565172726</v>
      </c>
    </row>
    <row r="36" spans="6:9" ht="13.5">
      <c r="F36" s="3" t="s">
        <v>626</v>
      </c>
      <c r="H36" s="3" t="s">
        <v>627</v>
      </c>
      <c r="I36" s="3">
        <v>288335000</v>
      </c>
    </row>
    <row r="37" spans="8:9" ht="13.5">
      <c r="H37" s="3" t="s">
        <v>628</v>
      </c>
      <c r="I37" s="3">
        <v>1130267000</v>
      </c>
    </row>
  </sheetData>
  <sheetProtection/>
  <mergeCells count="7">
    <mergeCell ref="A1:L1"/>
    <mergeCell ref="A4:A5"/>
    <mergeCell ref="B4:B5"/>
    <mergeCell ref="C4:C5"/>
    <mergeCell ref="D4:D5"/>
    <mergeCell ref="E4:E5"/>
    <mergeCell ref="F4:K4"/>
  </mergeCells>
  <printOptions/>
  <pageMargins left="0.24" right="0.2" top="0.45" bottom="0.38" header="0.2" footer="0.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5"/>
  <sheetViews>
    <sheetView zoomScale="120" zoomScaleNormal="120" zoomScalePageLayoutView="0" workbookViewId="0" topLeftCell="A4">
      <pane xSplit="2" ySplit="8" topLeftCell="C12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H24" sqref="H24"/>
    </sheetView>
  </sheetViews>
  <sheetFormatPr defaultColWidth="9.140625" defaultRowHeight="12.75"/>
  <cols>
    <col min="1" max="1" width="3.8515625" style="429" customWidth="1"/>
    <col min="2" max="2" width="33.57421875" style="429" customWidth="1"/>
    <col min="3" max="3" width="13.140625" style="429" customWidth="1"/>
    <col min="4" max="4" width="11.8515625" style="429" customWidth="1"/>
    <col min="5" max="5" width="11.7109375" style="429" customWidth="1"/>
    <col min="6" max="6" width="12.00390625" style="429" customWidth="1"/>
    <col min="7" max="7" width="12.8515625" style="429" customWidth="1"/>
    <col min="8" max="8" width="11.57421875" style="429" customWidth="1"/>
    <col min="9" max="9" width="12.140625" style="429" customWidth="1"/>
    <col min="10" max="10" width="12.421875" style="429" customWidth="1"/>
    <col min="11" max="11" width="11.8515625" style="429" customWidth="1"/>
    <col min="12" max="12" width="12.28125" style="429" customWidth="1"/>
    <col min="13" max="13" width="11.57421875" style="429" customWidth="1"/>
    <col min="14" max="14" width="12.421875" style="429" customWidth="1"/>
    <col min="15" max="15" width="11.57421875" style="429" customWidth="1"/>
    <col min="16" max="16" width="11.8515625" style="429" customWidth="1"/>
    <col min="17" max="17" width="18.00390625" style="429" bestFit="1" customWidth="1"/>
    <col min="18" max="18" width="15.7109375" style="429" bestFit="1" customWidth="1"/>
    <col min="19" max="16384" width="9.140625" style="429" customWidth="1"/>
  </cols>
  <sheetData>
    <row r="1" spans="1:16" ht="19.5" customHeight="1">
      <c r="A1" s="574" t="s">
        <v>445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881" t="s">
        <v>401</v>
      </c>
      <c r="O1" s="881"/>
      <c r="P1" s="881"/>
    </row>
    <row r="2" spans="1:16" ht="19.5" customHeight="1">
      <c r="A2" s="575" t="s">
        <v>589</v>
      </c>
      <c r="B2" s="576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576"/>
      <c r="P2" s="427"/>
    </row>
    <row r="3" spans="1:16" ht="18">
      <c r="A3" s="577" t="s">
        <v>402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</row>
    <row r="4" spans="1:16" ht="18">
      <c r="A4" s="577" t="s">
        <v>709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</row>
    <row r="5" spans="1:16" ht="18">
      <c r="A5" s="578" t="s">
        <v>289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</row>
    <row r="6" spans="1:16" ht="18">
      <c r="A6" s="579"/>
      <c r="B6" s="427"/>
      <c r="C6" s="427"/>
      <c r="D6" s="427"/>
      <c r="E6" s="427"/>
      <c r="F6" s="427"/>
      <c r="G6" s="427"/>
      <c r="H6" s="427"/>
      <c r="I6" s="427"/>
      <c r="J6" s="428"/>
      <c r="K6" s="428"/>
      <c r="L6" s="428"/>
      <c r="M6" s="428"/>
      <c r="N6" s="428"/>
      <c r="O6" s="428"/>
      <c r="P6" s="428"/>
    </row>
    <row r="7" spans="1:16" ht="18" thickBot="1">
      <c r="A7" s="428"/>
      <c r="B7" s="428"/>
      <c r="C7" s="580"/>
      <c r="D7" s="580"/>
      <c r="E7" s="580"/>
      <c r="F7" s="581"/>
      <c r="G7" s="580"/>
      <c r="H7" s="580"/>
      <c r="I7" s="580"/>
      <c r="J7" s="428"/>
      <c r="K7" s="580"/>
      <c r="L7" s="580"/>
      <c r="M7" s="580"/>
      <c r="N7" s="580"/>
      <c r="O7" s="882" t="s">
        <v>450</v>
      </c>
      <c r="P7" s="882"/>
    </row>
    <row r="8" spans="1:16" s="582" customFormat="1" ht="18.75" customHeight="1">
      <c r="A8" s="865" t="s">
        <v>12</v>
      </c>
      <c r="B8" s="868" t="s">
        <v>403</v>
      </c>
      <c r="C8" s="871" t="s">
        <v>708</v>
      </c>
      <c r="D8" s="874" t="s">
        <v>404</v>
      </c>
      <c r="E8" s="875"/>
      <c r="F8" s="875"/>
      <c r="G8" s="875"/>
      <c r="H8" s="875"/>
      <c r="I8" s="876"/>
      <c r="J8" s="871" t="s">
        <v>705</v>
      </c>
      <c r="K8" s="874" t="s">
        <v>404</v>
      </c>
      <c r="L8" s="875"/>
      <c r="M8" s="875"/>
      <c r="N8" s="875"/>
      <c r="O8" s="875"/>
      <c r="P8" s="876"/>
    </row>
    <row r="9" spans="1:16" s="584" customFormat="1" ht="16.5" customHeight="1">
      <c r="A9" s="866"/>
      <c r="B9" s="869"/>
      <c r="C9" s="872"/>
      <c r="D9" s="878" t="s">
        <v>405</v>
      </c>
      <c r="E9" s="879"/>
      <c r="F9" s="880"/>
      <c r="G9" s="878" t="s">
        <v>406</v>
      </c>
      <c r="H9" s="879"/>
      <c r="I9" s="880"/>
      <c r="J9" s="872"/>
      <c r="K9" s="878" t="s">
        <v>405</v>
      </c>
      <c r="L9" s="879"/>
      <c r="M9" s="880"/>
      <c r="N9" s="878" t="s">
        <v>406</v>
      </c>
      <c r="O9" s="879"/>
      <c r="P9" s="880"/>
    </row>
    <row r="10" spans="1:16" s="584" customFormat="1" ht="11.25">
      <c r="A10" s="867"/>
      <c r="B10" s="870"/>
      <c r="C10" s="873"/>
      <c r="D10" s="585" t="s">
        <v>145</v>
      </c>
      <c r="E10" s="585" t="s">
        <v>407</v>
      </c>
      <c r="F10" s="585" t="s">
        <v>408</v>
      </c>
      <c r="G10" s="585" t="s">
        <v>145</v>
      </c>
      <c r="H10" s="585" t="s">
        <v>407</v>
      </c>
      <c r="I10" s="583" t="s">
        <v>408</v>
      </c>
      <c r="J10" s="873"/>
      <c r="K10" s="585" t="s">
        <v>145</v>
      </c>
      <c r="L10" s="585" t="s">
        <v>407</v>
      </c>
      <c r="M10" s="585" t="s">
        <v>408</v>
      </c>
      <c r="N10" s="585" t="s">
        <v>145</v>
      </c>
      <c r="O10" s="585" t="s">
        <v>407</v>
      </c>
      <c r="P10" s="440" t="s">
        <v>408</v>
      </c>
    </row>
    <row r="11" spans="1:16" s="584" customFormat="1" ht="11.25">
      <c r="A11" s="586" t="s">
        <v>13</v>
      </c>
      <c r="B11" s="587" t="s">
        <v>14</v>
      </c>
      <c r="C11" s="587" t="s">
        <v>409</v>
      </c>
      <c r="D11" s="587" t="s">
        <v>410</v>
      </c>
      <c r="E11" s="588">
        <v>3</v>
      </c>
      <c r="F11" s="588">
        <v>4</v>
      </c>
      <c r="G11" s="587" t="s">
        <v>411</v>
      </c>
      <c r="H11" s="638">
        <v>6</v>
      </c>
      <c r="I11" s="588">
        <v>7</v>
      </c>
      <c r="J11" s="587" t="s">
        <v>412</v>
      </c>
      <c r="K11" s="587" t="s">
        <v>413</v>
      </c>
      <c r="L11" s="441">
        <v>10</v>
      </c>
      <c r="M11" s="589">
        <v>11</v>
      </c>
      <c r="N11" s="589" t="s">
        <v>414</v>
      </c>
      <c r="O11" s="589">
        <v>13</v>
      </c>
      <c r="P11" s="441">
        <v>14</v>
      </c>
    </row>
    <row r="12" spans="1:18" s="444" customFormat="1" ht="12.75">
      <c r="A12" s="639">
        <v>1</v>
      </c>
      <c r="B12" s="459" t="s">
        <v>592</v>
      </c>
      <c r="C12" s="442">
        <f>D12+G12</f>
        <v>13755000000</v>
      </c>
      <c r="D12" s="442">
        <f>E12+F12</f>
        <v>4615000000</v>
      </c>
      <c r="E12" s="629">
        <v>0</v>
      </c>
      <c r="F12" s="442">
        <v>4615000000</v>
      </c>
      <c r="G12" s="442">
        <f>H12+I12</f>
        <v>9140000000</v>
      </c>
      <c r="H12" s="637">
        <v>0</v>
      </c>
      <c r="I12" s="442">
        <v>9140000000</v>
      </c>
      <c r="J12" s="442">
        <f aca="true" t="shared" si="0" ref="J12:J26">K12+N12</f>
        <v>13477215506</v>
      </c>
      <c r="K12" s="442">
        <f>L12+M12</f>
        <v>4240297140</v>
      </c>
      <c r="L12" s="637">
        <v>0</v>
      </c>
      <c r="M12" s="442">
        <v>4240297140</v>
      </c>
      <c r="N12" s="442">
        <f>O12+P12</f>
        <v>9236918366</v>
      </c>
      <c r="O12" s="442">
        <v>3683145066</v>
      </c>
      <c r="P12" s="442">
        <v>5553773300</v>
      </c>
      <c r="Q12" s="443">
        <f>P12+M12</f>
        <v>9794070440</v>
      </c>
      <c r="R12" s="443">
        <f>O12+L12</f>
        <v>3683145066</v>
      </c>
    </row>
    <row r="13" spans="1:17" s="444" customFormat="1" ht="26.25">
      <c r="A13" s="640">
        <v>2</v>
      </c>
      <c r="B13" s="460" t="s">
        <v>415</v>
      </c>
      <c r="C13" s="446">
        <f>D13+G13</f>
        <v>133238000000</v>
      </c>
      <c r="D13" s="446">
        <f aca="true" t="shared" si="1" ref="D13:D26">E13+F13</f>
        <v>21250000000</v>
      </c>
      <c r="E13" s="445">
        <f>18800000000+1800000000</f>
        <v>20600000000</v>
      </c>
      <c r="F13" s="445">
        <v>650000000</v>
      </c>
      <c r="G13" s="446">
        <f>H13+I13</f>
        <v>111988000000</v>
      </c>
      <c r="H13" s="445">
        <v>74770000000</v>
      </c>
      <c r="I13" s="445">
        <v>37218000000</v>
      </c>
      <c r="J13" s="446">
        <f t="shared" si="0"/>
        <v>139563298045</v>
      </c>
      <c r="K13" s="446">
        <f aca="true" t="shared" si="2" ref="K13:K26">L13+M13</f>
        <v>19158597955</v>
      </c>
      <c r="L13" s="445">
        <v>18509196000</v>
      </c>
      <c r="M13" s="445">
        <v>649401955</v>
      </c>
      <c r="N13" s="446">
        <f aca="true" t="shared" si="3" ref="N13:N26">O13+P13</f>
        <v>120404700090</v>
      </c>
      <c r="O13" s="445">
        <v>93879041830</v>
      </c>
      <c r="P13" s="445">
        <v>26525658260</v>
      </c>
      <c r="Q13" s="447">
        <f>O13+L13</f>
        <v>112388237830</v>
      </c>
    </row>
    <row r="14" spans="1:16" s="448" customFormat="1" ht="26.25">
      <c r="A14" s="640">
        <v>3</v>
      </c>
      <c r="B14" s="460" t="s">
        <v>416</v>
      </c>
      <c r="C14" s="446">
        <f aca="true" t="shared" si="4" ref="C14:C26">D14+G14</f>
        <v>11610000000</v>
      </c>
      <c r="D14" s="446">
        <f t="shared" si="1"/>
        <v>11610000000</v>
      </c>
      <c r="E14" s="446">
        <v>10600000000</v>
      </c>
      <c r="F14" s="446">
        <v>1010000000</v>
      </c>
      <c r="G14" s="446">
        <f aca="true" t="shared" si="5" ref="G14:G26">H14+I14</f>
        <v>0</v>
      </c>
      <c r="H14" s="445">
        <v>0</v>
      </c>
      <c r="I14" s="445">
        <v>0</v>
      </c>
      <c r="J14" s="446">
        <f t="shared" si="0"/>
        <v>11974204000</v>
      </c>
      <c r="K14" s="446">
        <f t="shared" si="2"/>
        <v>11974204000</v>
      </c>
      <c r="L14" s="446">
        <f>8583275000+2381024000</f>
        <v>10964299000</v>
      </c>
      <c r="M14" s="445">
        <v>1009905000</v>
      </c>
      <c r="N14" s="446">
        <f t="shared" si="3"/>
        <v>0</v>
      </c>
      <c r="O14" s="445">
        <v>0</v>
      </c>
      <c r="P14" s="445">
        <v>0</v>
      </c>
    </row>
    <row r="15" spans="1:16" s="448" customFormat="1" ht="12.75">
      <c r="A15" s="640">
        <v>4</v>
      </c>
      <c r="B15" s="460" t="s">
        <v>417</v>
      </c>
      <c r="C15" s="449">
        <f>D15+G15</f>
        <v>8367000000</v>
      </c>
      <c r="D15" s="446">
        <f t="shared" si="1"/>
        <v>8367000000</v>
      </c>
      <c r="E15" s="446">
        <v>4000000000</v>
      </c>
      <c r="F15" s="446">
        <v>4367000000</v>
      </c>
      <c r="G15" s="446">
        <f t="shared" si="5"/>
        <v>0</v>
      </c>
      <c r="H15" s="445">
        <v>0</v>
      </c>
      <c r="I15" s="445">
        <v>0</v>
      </c>
      <c r="J15" s="446">
        <f t="shared" si="0"/>
        <v>8325146000</v>
      </c>
      <c r="K15" s="446">
        <f t="shared" si="2"/>
        <v>8325146000</v>
      </c>
      <c r="L15" s="446">
        <v>3958146000</v>
      </c>
      <c r="M15" s="449">
        <v>4367000000</v>
      </c>
      <c r="N15" s="446">
        <f t="shared" si="3"/>
        <v>0</v>
      </c>
      <c r="O15" s="445">
        <v>0</v>
      </c>
      <c r="P15" s="445">
        <v>0</v>
      </c>
    </row>
    <row r="16" spans="1:16" s="451" customFormat="1" ht="12.75">
      <c r="A16" s="640">
        <v>5</v>
      </c>
      <c r="B16" s="460" t="s">
        <v>418</v>
      </c>
      <c r="C16" s="446">
        <f t="shared" si="4"/>
        <v>4631000000</v>
      </c>
      <c r="D16" s="446">
        <f t="shared" si="1"/>
        <v>1497256000</v>
      </c>
      <c r="E16" s="445">
        <v>0</v>
      </c>
      <c r="F16" s="445">
        <v>1497256000</v>
      </c>
      <c r="G16" s="446">
        <f t="shared" si="5"/>
        <v>3133744000</v>
      </c>
      <c r="H16" s="445">
        <v>0</v>
      </c>
      <c r="I16" s="450">
        <v>3133744000</v>
      </c>
      <c r="J16" s="446">
        <f t="shared" si="0"/>
        <v>4547517578</v>
      </c>
      <c r="K16" s="446">
        <f t="shared" si="2"/>
        <v>1475710138</v>
      </c>
      <c r="L16" s="445">
        <v>0</v>
      </c>
      <c r="M16" s="445">
        <v>1475710138</v>
      </c>
      <c r="N16" s="446">
        <f t="shared" si="3"/>
        <v>3071807440</v>
      </c>
      <c r="O16" s="445">
        <v>0</v>
      </c>
      <c r="P16" s="445">
        <v>3071807440</v>
      </c>
    </row>
    <row r="17" spans="1:16" s="448" customFormat="1" ht="26.25">
      <c r="A17" s="640">
        <v>6</v>
      </c>
      <c r="B17" s="460" t="s">
        <v>419</v>
      </c>
      <c r="C17" s="446">
        <f t="shared" si="4"/>
        <v>758000000</v>
      </c>
      <c r="D17" s="446">
        <f t="shared" si="1"/>
        <v>758000000</v>
      </c>
      <c r="E17" s="445"/>
      <c r="F17" s="445">
        <v>758000000</v>
      </c>
      <c r="G17" s="446">
        <f t="shared" si="5"/>
        <v>0</v>
      </c>
      <c r="H17" s="445">
        <v>0</v>
      </c>
      <c r="I17" s="445">
        <v>0</v>
      </c>
      <c r="J17" s="446">
        <f t="shared" si="0"/>
        <v>726600000</v>
      </c>
      <c r="K17" s="446">
        <f t="shared" si="2"/>
        <v>726600000</v>
      </c>
      <c r="L17" s="445">
        <v>0</v>
      </c>
      <c r="M17" s="445">
        <v>726600000</v>
      </c>
      <c r="N17" s="446">
        <f t="shared" si="3"/>
        <v>0</v>
      </c>
      <c r="O17" s="445">
        <v>0</v>
      </c>
      <c r="P17" s="445">
        <v>0</v>
      </c>
    </row>
    <row r="18" spans="1:17" s="448" customFormat="1" ht="17.25" customHeight="1">
      <c r="A18" s="640">
        <v>7</v>
      </c>
      <c r="B18" s="460" t="s">
        <v>420</v>
      </c>
      <c r="C18" s="446">
        <f t="shared" si="4"/>
        <v>4886000000</v>
      </c>
      <c r="D18" s="446">
        <f t="shared" si="1"/>
        <v>3736000000</v>
      </c>
      <c r="E18" s="445">
        <v>2000000000</v>
      </c>
      <c r="F18" s="445">
        <v>1736000000</v>
      </c>
      <c r="G18" s="446">
        <f t="shared" si="5"/>
        <v>1150000000</v>
      </c>
      <c r="H18" s="445">
        <v>0</v>
      </c>
      <c r="I18" s="445">
        <v>1150000000</v>
      </c>
      <c r="J18" s="446">
        <f t="shared" si="0"/>
        <v>4851737413</v>
      </c>
      <c r="K18" s="446">
        <f t="shared" si="2"/>
        <v>3731548413</v>
      </c>
      <c r="L18" s="445">
        <v>1999992413</v>
      </c>
      <c r="M18" s="445">
        <v>1731556000</v>
      </c>
      <c r="N18" s="446">
        <f t="shared" si="3"/>
        <v>1120189000</v>
      </c>
      <c r="O18" s="445">
        <v>720189000</v>
      </c>
      <c r="P18" s="445">
        <v>400000000</v>
      </c>
      <c r="Q18" s="452"/>
    </row>
    <row r="19" spans="1:17" s="448" customFormat="1" ht="26.25">
      <c r="A19" s="640">
        <v>8</v>
      </c>
      <c r="B19" s="460" t="s">
        <v>421</v>
      </c>
      <c r="C19" s="446">
        <f t="shared" si="4"/>
        <v>13150000000</v>
      </c>
      <c r="D19" s="446">
        <f t="shared" si="1"/>
        <v>11147000000</v>
      </c>
      <c r="E19" s="445">
        <v>6450000000</v>
      </c>
      <c r="F19" s="445">
        <v>4697000000</v>
      </c>
      <c r="G19" s="446">
        <f t="shared" si="5"/>
        <v>2003000000</v>
      </c>
      <c r="H19" s="445">
        <v>0</v>
      </c>
      <c r="I19" s="445">
        <v>2003000000</v>
      </c>
      <c r="J19" s="446">
        <f t="shared" si="0"/>
        <v>14054380500</v>
      </c>
      <c r="K19" s="446">
        <f t="shared" si="2"/>
        <v>11989288000</v>
      </c>
      <c r="L19" s="445">
        <v>7294052000</v>
      </c>
      <c r="M19" s="445">
        <v>4695236000</v>
      </c>
      <c r="N19" s="446">
        <f t="shared" si="3"/>
        <v>2065092500</v>
      </c>
      <c r="O19" s="445">
        <v>0</v>
      </c>
      <c r="P19" s="445">
        <v>2065092500</v>
      </c>
      <c r="Q19" s="452" t="s">
        <v>593</v>
      </c>
    </row>
    <row r="20" spans="1:16" s="448" customFormat="1" ht="17.25" customHeight="1">
      <c r="A20" s="640">
        <v>9</v>
      </c>
      <c r="B20" s="460" t="s">
        <v>422</v>
      </c>
      <c r="C20" s="446">
        <f t="shared" si="4"/>
        <v>900000000</v>
      </c>
      <c r="D20" s="446">
        <f t="shared" si="1"/>
        <v>900000000</v>
      </c>
      <c r="E20" s="453"/>
      <c r="F20" s="453">
        <v>900000000</v>
      </c>
      <c r="G20" s="446">
        <f t="shared" si="5"/>
        <v>0</v>
      </c>
      <c r="H20" s="445">
        <v>0</v>
      </c>
      <c r="I20" s="445">
        <v>0</v>
      </c>
      <c r="J20" s="446">
        <f t="shared" si="0"/>
        <v>900000000</v>
      </c>
      <c r="K20" s="446">
        <f t="shared" si="2"/>
        <v>900000000</v>
      </c>
      <c r="L20" s="454">
        <v>0</v>
      </c>
      <c r="M20" s="453">
        <v>900000000</v>
      </c>
      <c r="N20" s="446">
        <f t="shared" si="3"/>
        <v>0</v>
      </c>
      <c r="O20" s="454">
        <v>0</v>
      </c>
      <c r="P20" s="453"/>
    </row>
    <row r="21" spans="1:16" s="448" customFormat="1" ht="15" customHeight="1">
      <c r="A21" s="640">
        <v>10</v>
      </c>
      <c r="B21" s="460" t="s">
        <v>423</v>
      </c>
      <c r="C21" s="446">
        <f t="shared" si="4"/>
        <v>230000000</v>
      </c>
      <c r="D21" s="446">
        <f t="shared" si="1"/>
        <v>230000000</v>
      </c>
      <c r="E21" s="453"/>
      <c r="F21" s="453">
        <v>230000000</v>
      </c>
      <c r="G21" s="446">
        <f t="shared" si="5"/>
        <v>0</v>
      </c>
      <c r="H21" s="445">
        <v>0</v>
      </c>
      <c r="I21" s="445">
        <v>0</v>
      </c>
      <c r="J21" s="446">
        <f t="shared" si="0"/>
        <v>230000000</v>
      </c>
      <c r="K21" s="446">
        <f t="shared" si="2"/>
        <v>230000000</v>
      </c>
      <c r="L21" s="454">
        <v>0</v>
      </c>
      <c r="M21" s="453">
        <v>230000000</v>
      </c>
      <c r="N21" s="446">
        <f t="shared" si="3"/>
        <v>0</v>
      </c>
      <c r="O21" s="454">
        <v>0</v>
      </c>
      <c r="P21" s="453"/>
    </row>
    <row r="22" spans="1:18" s="448" customFormat="1" ht="12.75">
      <c r="A22" s="640">
        <v>11</v>
      </c>
      <c r="B22" s="460" t="s">
        <v>424</v>
      </c>
      <c r="C22" s="446">
        <f t="shared" si="4"/>
        <v>7200000000</v>
      </c>
      <c r="D22" s="446">
        <f t="shared" si="1"/>
        <v>620000000</v>
      </c>
      <c r="E22" s="445">
        <v>0</v>
      </c>
      <c r="F22" s="445">
        <v>620000000</v>
      </c>
      <c r="G22" s="446">
        <f t="shared" si="5"/>
        <v>6580000000</v>
      </c>
      <c r="H22" s="445">
        <v>0</v>
      </c>
      <c r="I22" s="445">
        <v>6580000000</v>
      </c>
      <c r="J22" s="446">
        <f t="shared" si="0"/>
        <v>8188380350</v>
      </c>
      <c r="K22" s="446">
        <f t="shared" si="2"/>
        <v>681031000</v>
      </c>
      <c r="L22" s="445">
        <v>74623000</v>
      </c>
      <c r="M22" s="445">
        <v>606408000</v>
      </c>
      <c r="N22" s="446">
        <f t="shared" si="3"/>
        <v>7507349350</v>
      </c>
      <c r="O22" s="445">
        <v>282000000</v>
      </c>
      <c r="P22" s="445">
        <v>7225349350</v>
      </c>
      <c r="Q22" s="452">
        <f>P22+M22</f>
        <v>7831757350</v>
      </c>
      <c r="R22" s="452">
        <f>O22+L22</f>
        <v>356623000</v>
      </c>
    </row>
    <row r="23" spans="1:19" s="448" customFormat="1" ht="26.25">
      <c r="A23" s="640">
        <v>12</v>
      </c>
      <c r="B23" s="460" t="s">
        <v>425</v>
      </c>
      <c r="C23" s="446">
        <f t="shared" si="4"/>
        <v>6880000000</v>
      </c>
      <c r="D23" s="446">
        <f t="shared" si="1"/>
        <v>6880000000</v>
      </c>
      <c r="E23" s="446">
        <v>6000000000</v>
      </c>
      <c r="F23" s="446">
        <v>880000000</v>
      </c>
      <c r="G23" s="446">
        <f t="shared" si="5"/>
        <v>0</v>
      </c>
      <c r="H23" s="445">
        <v>0</v>
      </c>
      <c r="I23" s="445">
        <v>0</v>
      </c>
      <c r="J23" s="446">
        <f t="shared" si="0"/>
        <v>6970620200</v>
      </c>
      <c r="K23" s="446">
        <f t="shared" si="2"/>
        <v>6970620200</v>
      </c>
      <c r="L23" s="446">
        <v>6090620200</v>
      </c>
      <c r="M23" s="446">
        <v>880000000</v>
      </c>
      <c r="N23" s="446">
        <f t="shared" si="3"/>
        <v>0</v>
      </c>
      <c r="O23" s="445">
        <v>0</v>
      </c>
      <c r="P23" s="445">
        <v>0</v>
      </c>
      <c r="Q23" s="448">
        <v>4647514800</v>
      </c>
      <c r="R23" s="630">
        <f>Q23-L23</f>
        <v>-1443105400</v>
      </c>
      <c r="S23" s="631" t="s">
        <v>594</v>
      </c>
    </row>
    <row r="24" spans="1:16" s="448" customFormat="1" ht="39">
      <c r="A24" s="640">
        <v>13</v>
      </c>
      <c r="B24" s="460" t="s">
        <v>426</v>
      </c>
      <c r="C24" s="446">
        <f t="shared" si="4"/>
        <v>1700000000</v>
      </c>
      <c r="D24" s="446">
        <f t="shared" si="1"/>
        <v>1700000000</v>
      </c>
      <c r="E24" s="632">
        <v>1500000000</v>
      </c>
      <c r="F24" s="445">
        <v>200000000</v>
      </c>
      <c r="G24" s="446">
        <f t="shared" si="5"/>
        <v>0</v>
      </c>
      <c r="H24" s="445">
        <v>0</v>
      </c>
      <c r="I24" s="445">
        <v>0</v>
      </c>
      <c r="J24" s="446">
        <f t="shared" si="0"/>
        <v>1661144000</v>
      </c>
      <c r="K24" s="446">
        <f t="shared" si="2"/>
        <v>1661144000</v>
      </c>
      <c r="L24" s="632">
        <v>1461144000</v>
      </c>
      <c r="M24" s="632">
        <v>200000000</v>
      </c>
      <c r="N24" s="446">
        <f t="shared" si="3"/>
        <v>0</v>
      </c>
      <c r="O24" s="445"/>
      <c r="P24" s="445"/>
    </row>
    <row r="25" spans="1:17" s="448" customFormat="1" ht="12.75">
      <c r="A25" s="640">
        <v>14</v>
      </c>
      <c r="B25" s="460" t="s">
        <v>427</v>
      </c>
      <c r="C25" s="446">
        <f t="shared" si="4"/>
        <v>0</v>
      </c>
      <c r="D25" s="446">
        <f t="shared" si="1"/>
        <v>0</v>
      </c>
      <c r="E25" s="445"/>
      <c r="F25" s="445"/>
      <c r="G25" s="446">
        <f t="shared" si="5"/>
        <v>0</v>
      </c>
      <c r="H25" s="445"/>
      <c r="I25" s="445">
        <v>0</v>
      </c>
      <c r="J25" s="446">
        <f t="shared" si="0"/>
        <v>370512000</v>
      </c>
      <c r="K25" s="446">
        <f t="shared" si="2"/>
        <v>33798000</v>
      </c>
      <c r="L25" s="445">
        <v>33798000</v>
      </c>
      <c r="M25" s="445">
        <v>0</v>
      </c>
      <c r="N25" s="446">
        <f t="shared" si="3"/>
        <v>336714000</v>
      </c>
      <c r="O25" s="445">
        <v>0</v>
      </c>
      <c r="P25" s="445">
        <v>336714000</v>
      </c>
      <c r="Q25" s="452">
        <f>O25+L25</f>
        <v>33798000</v>
      </c>
    </row>
    <row r="26" spans="1:17" s="448" customFormat="1" ht="26.25">
      <c r="A26" s="641">
        <v>15</v>
      </c>
      <c r="B26" s="633" t="s">
        <v>595</v>
      </c>
      <c r="C26" s="634">
        <f t="shared" si="4"/>
        <v>0</v>
      </c>
      <c r="D26" s="634">
        <f t="shared" si="1"/>
        <v>0</v>
      </c>
      <c r="E26" s="635">
        <v>0</v>
      </c>
      <c r="F26" s="635"/>
      <c r="G26" s="634">
        <f t="shared" si="5"/>
        <v>0</v>
      </c>
      <c r="H26" s="642">
        <v>0</v>
      </c>
      <c r="I26" s="642">
        <v>0</v>
      </c>
      <c r="J26" s="634">
        <f t="shared" si="0"/>
        <v>2548445000</v>
      </c>
      <c r="K26" s="634">
        <f t="shared" si="2"/>
        <v>2548445000</v>
      </c>
      <c r="L26" s="635">
        <v>2548445000</v>
      </c>
      <c r="M26" s="636">
        <v>0</v>
      </c>
      <c r="N26" s="634">
        <f t="shared" si="3"/>
        <v>0</v>
      </c>
      <c r="O26" s="635">
        <v>0</v>
      </c>
      <c r="P26" s="635">
        <v>0</v>
      </c>
      <c r="Q26" s="452"/>
    </row>
    <row r="27" spans="1:16" s="448" customFormat="1" ht="9.75">
      <c r="A27" s="455"/>
      <c r="B27" s="456" t="s">
        <v>428</v>
      </c>
      <c r="C27" s="457">
        <f aca="true" t="shared" si="6" ref="C27:P27">SUM(C12:C26)</f>
        <v>207305000000</v>
      </c>
      <c r="D27" s="457">
        <f t="shared" si="6"/>
        <v>73310256000</v>
      </c>
      <c r="E27" s="458">
        <f t="shared" si="6"/>
        <v>51150000000</v>
      </c>
      <c r="F27" s="457">
        <f t="shared" si="6"/>
        <v>22160256000</v>
      </c>
      <c r="G27" s="458">
        <f t="shared" si="6"/>
        <v>133994744000</v>
      </c>
      <c r="H27" s="643">
        <f t="shared" si="6"/>
        <v>74770000000</v>
      </c>
      <c r="I27" s="643">
        <f t="shared" si="6"/>
        <v>59224744000</v>
      </c>
      <c r="J27" s="457">
        <f t="shared" si="6"/>
        <v>218389200592</v>
      </c>
      <c r="K27" s="457">
        <f t="shared" si="6"/>
        <v>74646429846</v>
      </c>
      <c r="L27" s="457">
        <f t="shared" si="6"/>
        <v>52934315613</v>
      </c>
      <c r="M27" s="457">
        <f t="shared" si="6"/>
        <v>21712114233</v>
      </c>
      <c r="N27" s="457">
        <f t="shared" si="6"/>
        <v>143742770746</v>
      </c>
      <c r="O27" s="457">
        <f t="shared" si="6"/>
        <v>98564375896</v>
      </c>
      <c r="P27" s="457">
        <f t="shared" si="6"/>
        <v>45178394850</v>
      </c>
    </row>
    <row r="28" spans="1:16" ht="15">
      <c r="A28" s="433"/>
      <c r="B28" s="434"/>
      <c r="C28" s="435"/>
      <c r="D28" s="435"/>
      <c r="E28" s="436"/>
      <c r="F28" s="435"/>
      <c r="G28" s="436"/>
      <c r="H28" s="435"/>
      <c r="I28" s="435"/>
      <c r="J28" s="435"/>
      <c r="K28" s="435"/>
      <c r="L28" s="435"/>
      <c r="M28" s="435"/>
      <c r="N28" s="435"/>
      <c r="O28" s="435"/>
      <c r="P28" s="435"/>
    </row>
    <row r="29" spans="1:16" ht="15">
      <c r="A29" s="437"/>
      <c r="B29" s="877" t="s">
        <v>710</v>
      </c>
      <c r="C29" s="877"/>
      <c r="D29" s="438"/>
      <c r="E29" s="439"/>
      <c r="F29" s="438"/>
      <c r="G29" s="439"/>
      <c r="H29" s="438"/>
      <c r="J29" s="438"/>
      <c r="K29" s="438"/>
      <c r="L29" s="590" t="s">
        <v>711</v>
      </c>
      <c r="M29" s="438"/>
      <c r="N29" s="438"/>
      <c r="O29" s="438"/>
      <c r="P29" s="438"/>
    </row>
    <row r="30" spans="1:16" ht="15">
      <c r="A30" s="433"/>
      <c r="B30" s="591" t="s">
        <v>208</v>
      </c>
      <c r="C30" s="592"/>
      <c r="D30" s="435"/>
      <c r="E30" s="436"/>
      <c r="F30" s="435"/>
      <c r="G30" s="436"/>
      <c r="H30" s="435"/>
      <c r="J30" s="435"/>
      <c r="K30" s="435"/>
      <c r="L30" s="593" t="s">
        <v>286</v>
      </c>
      <c r="M30" s="435"/>
      <c r="N30" s="435"/>
      <c r="O30" s="435"/>
      <c r="P30" s="435"/>
    </row>
    <row r="31" spans="1:16" ht="15">
      <c r="A31" s="433"/>
      <c r="B31" s="434"/>
      <c r="C31" s="435"/>
      <c r="D31" s="435"/>
      <c r="E31" s="436"/>
      <c r="F31" s="435"/>
      <c r="G31" s="436"/>
      <c r="H31" s="435"/>
      <c r="J31" s="435"/>
      <c r="K31" s="435"/>
      <c r="L31" s="593" t="s">
        <v>188</v>
      </c>
      <c r="M31" s="435"/>
      <c r="N31" s="435"/>
      <c r="O31" s="435"/>
      <c r="P31" s="435"/>
    </row>
    <row r="32" spans="3:16" ht="15">
      <c r="C32" s="430">
        <v>223845000000</v>
      </c>
      <c r="F32" s="430">
        <f>'[2]sự nghiệp'!$F$26</f>
        <v>25753000000</v>
      </c>
      <c r="G32" s="430"/>
      <c r="J32" s="594">
        <v>223656243552</v>
      </c>
      <c r="L32" s="595">
        <f>'[3]BaoCao'!$H$49</f>
        <v>79651002986</v>
      </c>
      <c r="M32" s="430">
        <f>M27-M20-M21</f>
        <v>20582114233</v>
      </c>
      <c r="P32" s="430"/>
    </row>
    <row r="33" spans="3:16" ht="18.75" customHeight="1">
      <c r="C33" s="596">
        <f>C27-C32</f>
        <v>-16540000000</v>
      </c>
      <c r="D33" s="430"/>
      <c r="E33" s="430"/>
      <c r="F33" s="430">
        <f>F32-F27</f>
        <v>3592744000</v>
      </c>
      <c r="G33" s="430"/>
      <c r="H33" s="519"/>
      <c r="I33" s="519"/>
      <c r="J33" s="594">
        <f>J27-J32</f>
        <v>-5267042960</v>
      </c>
      <c r="K33" s="429">
        <v>1568356616</v>
      </c>
      <c r="L33" s="430">
        <f>L27-L32</f>
        <v>-26716687373</v>
      </c>
      <c r="M33" s="432"/>
      <c r="N33" s="432"/>
      <c r="O33" s="432"/>
      <c r="P33" s="431"/>
    </row>
    <row r="34" spans="3:16" ht="18.75" customHeight="1">
      <c r="C34" s="595">
        <v>5002000000</v>
      </c>
      <c r="D34" s="430"/>
      <c r="E34" s="519"/>
      <c r="F34" s="519"/>
      <c r="G34" s="519"/>
      <c r="H34" s="519"/>
      <c r="I34" s="519"/>
      <c r="J34" s="594">
        <v>3542393900</v>
      </c>
      <c r="K34" s="596">
        <f>K33-J25</f>
        <v>1197844616</v>
      </c>
      <c r="M34" s="432" t="s">
        <v>596</v>
      </c>
      <c r="N34" s="432"/>
      <c r="O34" s="432"/>
      <c r="P34" s="432"/>
    </row>
    <row r="35" spans="3:10" ht="15">
      <c r="C35" s="430">
        <f>C33-C34</f>
        <v>-21542000000</v>
      </c>
      <c r="D35" s="519"/>
      <c r="E35" s="519"/>
      <c r="F35" s="595"/>
      <c r="G35" s="519"/>
      <c r="H35" s="519"/>
      <c r="I35" s="519"/>
      <c r="J35" s="594">
        <f>J33-J34</f>
        <v>-8809436860</v>
      </c>
    </row>
    <row r="36" spans="4:15" ht="15">
      <c r="D36" s="519"/>
      <c r="E36" s="519"/>
      <c r="F36" s="519"/>
      <c r="G36" s="519"/>
      <c r="H36" s="519"/>
      <c r="I36" s="519"/>
      <c r="J36" s="594"/>
      <c r="O36" s="595"/>
    </row>
    <row r="37" spans="4:15" ht="15">
      <c r="D37" s="430"/>
      <c r="E37" s="519"/>
      <c r="F37" s="519"/>
      <c r="G37" s="519"/>
      <c r="H37" s="519"/>
      <c r="I37" s="519"/>
      <c r="J37" s="594"/>
      <c r="O37" s="597"/>
    </row>
    <row r="38" spans="4:10" ht="15">
      <c r="D38" s="430"/>
      <c r="E38" s="519"/>
      <c r="F38" s="519"/>
      <c r="G38" s="519"/>
      <c r="H38" s="519"/>
      <c r="I38" s="519"/>
      <c r="J38" s="594"/>
    </row>
    <row r="39" spans="4:10" ht="15">
      <c r="D39" s="430"/>
      <c r="E39" s="519"/>
      <c r="F39" s="519"/>
      <c r="G39" s="519"/>
      <c r="H39" s="519"/>
      <c r="I39" s="519"/>
      <c r="J39" s="596"/>
    </row>
    <row r="40" spans="4:10" ht="15">
      <c r="D40" s="430"/>
      <c r="E40" s="519"/>
      <c r="F40" s="519"/>
      <c r="G40" s="519"/>
      <c r="H40" s="519"/>
      <c r="I40" s="519"/>
      <c r="J40" s="596"/>
    </row>
    <row r="41" spans="4:10" ht="15">
      <c r="D41" s="430"/>
      <c r="E41" s="519"/>
      <c r="F41" s="519"/>
      <c r="G41" s="519"/>
      <c r="H41" s="519"/>
      <c r="I41" s="519"/>
      <c r="J41" s="596"/>
    </row>
    <row r="42" spans="4:10" ht="15">
      <c r="D42" s="430"/>
      <c r="E42" s="519"/>
      <c r="F42" s="519"/>
      <c r="G42" s="519"/>
      <c r="H42" s="519"/>
      <c r="I42" s="519"/>
      <c r="J42" s="596"/>
    </row>
    <row r="43" spans="4:10" ht="15">
      <c r="D43" s="430"/>
      <c r="E43" s="519"/>
      <c r="F43" s="519"/>
      <c r="G43" s="519"/>
      <c r="H43" s="519"/>
      <c r="I43" s="519"/>
      <c r="J43" s="596"/>
    </row>
    <row r="44" spans="4:10" ht="15">
      <c r="D44" s="430"/>
      <c r="E44" s="519"/>
      <c r="F44" s="519"/>
      <c r="G44" s="519"/>
      <c r="H44" s="519"/>
      <c r="I44" s="519"/>
      <c r="J44" s="596"/>
    </row>
    <row r="45" spans="4:9" ht="15">
      <c r="D45" s="430"/>
      <c r="E45" s="519"/>
      <c r="F45" s="519"/>
      <c r="G45" s="519"/>
      <c r="H45" s="519"/>
      <c r="I45" s="519"/>
    </row>
    <row r="46" spans="4:9" ht="15">
      <c r="D46" s="430"/>
      <c r="E46" s="519"/>
      <c r="F46" s="519"/>
      <c r="G46" s="519"/>
      <c r="H46" s="519"/>
      <c r="I46" s="519"/>
    </row>
    <row r="47" spans="4:9" ht="15">
      <c r="D47" s="430"/>
      <c r="E47" s="519"/>
      <c r="F47" s="519"/>
      <c r="G47" s="519"/>
      <c r="H47" s="519"/>
      <c r="I47" s="519"/>
    </row>
    <row r="48" spans="4:9" ht="15">
      <c r="D48" s="430"/>
      <c r="E48" s="519"/>
      <c r="F48" s="519"/>
      <c r="G48" s="519"/>
      <c r="H48" s="519"/>
      <c r="I48" s="519"/>
    </row>
    <row r="49" spans="4:9" ht="15">
      <c r="D49" s="430"/>
      <c r="E49" s="519"/>
      <c r="F49" s="519"/>
      <c r="G49" s="519"/>
      <c r="H49" s="519"/>
      <c r="I49" s="519"/>
    </row>
    <row r="50" spans="4:9" ht="15">
      <c r="D50" s="430"/>
      <c r="E50" s="519"/>
      <c r="F50" s="519"/>
      <c r="G50" s="519"/>
      <c r="H50" s="519"/>
      <c r="I50" s="519"/>
    </row>
    <row r="51" spans="4:9" ht="15">
      <c r="D51" s="430"/>
      <c r="E51" s="519"/>
      <c r="F51" s="519"/>
      <c r="G51" s="519"/>
      <c r="H51" s="519"/>
      <c r="I51" s="519"/>
    </row>
    <row r="52" spans="4:9" ht="15">
      <c r="D52" s="430"/>
      <c r="E52" s="519"/>
      <c r="F52" s="519"/>
      <c r="G52" s="519"/>
      <c r="H52" s="519"/>
      <c r="I52" s="519"/>
    </row>
    <row r="53" spans="4:9" ht="15">
      <c r="D53" s="430"/>
      <c r="E53" s="519"/>
      <c r="F53" s="519"/>
      <c r="G53" s="519"/>
      <c r="H53" s="519"/>
      <c r="I53" s="519"/>
    </row>
    <row r="54" spans="4:9" ht="15">
      <c r="D54" s="430"/>
      <c r="E54" s="519"/>
      <c r="F54" s="519"/>
      <c r="G54" s="519"/>
      <c r="H54" s="519"/>
      <c r="I54" s="519"/>
    </row>
    <row r="55" spans="4:9" ht="15">
      <c r="D55" s="519"/>
      <c r="E55" s="519"/>
      <c r="F55" s="519"/>
      <c r="G55" s="519"/>
      <c r="H55" s="519"/>
      <c r="I55" s="519"/>
    </row>
    <row r="56" spans="4:9" ht="15">
      <c r="D56" s="519"/>
      <c r="E56" s="519"/>
      <c r="F56" s="519"/>
      <c r="G56" s="519"/>
      <c r="H56" s="519"/>
      <c r="I56" s="519"/>
    </row>
    <row r="57" spans="4:9" ht="15">
      <c r="D57" s="519"/>
      <c r="E57" s="519"/>
      <c r="F57" s="519"/>
      <c r="G57" s="519"/>
      <c r="H57" s="519"/>
      <c r="I57" s="519"/>
    </row>
    <row r="58" spans="4:9" ht="15">
      <c r="D58" s="519"/>
      <c r="E58" s="519"/>
      <c r="F58" s="519"/>
      <c r="G58" s="519"/>
      <c r="H58" s="519"/>
      <c r="I58" s="519"/>
    </row>
    <row r="59" spans="4:9" ht="15">
      <c r="D59" s="519"/>
      <c r="E59" s="519"/>
      <c r="F59" s="519"/>
      <c r="G59" s="519"/>
      <c r="H59" s="519"/>
      <c r="I59" s="519"/>
    </row>
    <row r="60" spans="4:9" ht="15">
      <c r="D60" s="519"/>
      <c r="E60" s="519"/>
      <c r="F60" s="519"/>
      <c r="G60" s="519"/>
      <c r="H60" s="519"/>
      <c r="I60" s="519"/>
    </row>
    <row r="61" spans="4:9" ht="15">
      <c r="D61" s="519"/>
      <c r="E61" s="519"/>
      <c r="F61" s="519"/>
      <c r="G61" s="519"/>
      <c r="H61" s="519"/>
      <c r="I61" s="519"/>
    </row>
    <row r="62" spans="4:9" ht="15">
      <c r="D62" s="519"/>
      <c r="E62" s="519"/>
      <c r="F62" s="519"/>
      <c r="G62" s="519"/>
      <c r="H62" s="519"/>
      <c r="I62" s="519"/>
    </row>
    <row r="63" spans="4:9" ht="15">
      <c r="D63" s="519"/>
      <c r="E63" s="519"/>
      <c r="F63" s="519"/>
      <c r="G63" s="519"/>
      <c r="H63" s="519"/>
      <c r="I63" s="519"/>
    </row>
    <row r="64" spans="4:9" ht="15">
      <c r="D64" s="519"/>
      <c r="E64" s="519"/>
      <c r="F64" s="519"/>
      <c r="G64" s="519"/>
      <c r="H64" s="519"/>
      <c r="I64" s="519"/>
    </row>
    <row r="65" spans="4:9" ht="15">
      <c r="D65" s="519"/>
      <c r="E65" s="519"/>
      <c r="F65" s="519"/>
      <c r="G65" s="519"/>
      <c r="H65" s="519"/>
      <c r="I65" s="519"/>
    </row>
    <row r="66" spans="4:9" ht="15">
      <c r="D66" s="519"/>
      <c r="E66" s="519"/>
      <c r="F66" s="519"/>
      <c r="G66" s="519"/>
      <c r="H66" s="519"/>
      <c r="I66" s="519"/>
    </row>
    <row r="67" spans="4:9" ht="15">
      <c r="D67" s="519"/>
      <c r="E67" s="519"/>
      <c r="F67" s="519"/>
      <c r="G67" s="519"/>
      <c r="H67" s="519"/>
      <c r="I67" s="519"/>
    </row>
    <row r="68" spans="4:9" ht="15">
      <c r="D68" s="519"/>
      <c r="E68" s="519"/>
      <c r="F68" s="519"/>
      <c r="G68" s="519"/>
      <c r="H68" s="519"/>
      <c r="I68" s="519"/>
    </row>
    <row r="69" spans="4:9" ht="15">
      <c r="D69" s="519"/>
      <c r="E69" s="519"/>
      <c r="F69" s="519"/>
      <c r="G69" s="519"/>
      <c r="H69" s="519"/>
      <c r="I69" s="519"/>
    </row>
    <row r="70" spans="4:9" ht="15">
      <c r="D70" s="519"/>
      <c r="E70" s="519"/>
      <c r="F70" s="519"/>
      <c r="G70" s="519"/>
      <c r="H70" s="519"/>
      <c r="I70" s="519"/>
    </row>
    <row r="71" spans="4:9" ht="15">
      <c r="D71" s="519"/>
      <c r="E71" s="519"/>
      <c r="F71" s="519"/>
      <c r="G71" s="519"/>
      <c r="H71" s="519"/>
      <c r="I71" s="519"/>
    </row>
    <row r="72" spans="4:9" ht="15">
      <c r="D72" s="519"/>
      <c r="E72" s="519"/>
      <c r="F72" s="519"/>
      <c r="G72" s="519"/>
      <c r="H72" s="519"/>
      <c r="I72" s="519"/>
    </row>
    <row r="73" spans="4:9" ht="15">
      <c r="D73" s="519"/>
      <c r="E73" s="519"/>
      <c r="F73" s="519"/>
      <c r="G73" s="519"/>
      <c r="H73" s="519"/>
      <c r="I73" s="519"/>
    </row>
    <row r="74" spans="4:9" ht="15">
      <c r="D74" s="519"/>
      <c r="E74" s="519"/>
      <c r="F74" s="519"/>
      <c r="G74" s="519"/>
      <c r="H74" s="519"/>
      <c r="I74" s="519"/>
    </row>
    <row r="75" spans="4:9" ht="15">
      <c r="D75" s="519"/>
      <c r="E75" s="519"/>
      <c r="F75" s="519"/>
      <c r="G75" s="519"/>
      <c r="H75" s="519"/>
      <c r="I75" s="519"/>
    </row>
  </sheetData>
  <sheetProtection/>
  <mergeCells count="13">
    <mergeCell ref="N1:P1"/>
    <mergeCell ref="O7:P7"/>
    <mergeCell ref="J8:J10"/>
    <mergeCell ref="K8:P8"/>
    <mergeCell ref="N9:P9"/>
    <mergeCell ref="B29:C29"/>
    <mergeCell ref="D9:F9"/>
    <mergeCell ref="G9:I9"/>
    <mergeCell ref="K9:M9"/>
    <mergeCell ref="A8:A10"/>
    <mergeCell ref="B8:B10"/>
    <mergeCell ref="C8:C10"/>
    <mergeCell ref="D8:I8"/>
  </mergeCells>
  <printOptions/>
  <pageMargins left="0.36" right="0.2" top="0.56" bottom="0.61" header="0.24" footer="0.39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58"/>
  <sheetViews>
    <sheetView zoomScalePageLayoutView="0" workbookViewId="0" topLeftCell="A6">
      <pane xSplit="2" ySplit="8" topLeftCell="T38" activePane="bottomRight" state="frozen"/>
      <selection pane="topLeft" activeCell="A6" sqref="A6"/>
      <selection pane="topRight" activeCell="C6" sqref="C6"/>
      <selection pane="bottomLeft" activeCell="A14" sqref="A14"/>
      <selection pane="bottomRight" activeCell="AC58" sqref="AC58"/>
    </sheetView>
  </sheetViews>
  <sheetFormatPr defaultColWidth="9.140625" defaultRowHeight="12.75"/>
  <cols>
    <col min="1" max="1" width="5.140625" style="29" customWidth="1"/>
    <col min="2" max="2" width="33.7109375" style="26" customWidth="1"/>
    <col min="3" max="3" width="16.421875" style="550" customWidth="1"/>
    <col min="4" max="4" width="16.7109375" style="550" customWidth="1"/>
    <col min="5" max="5" width="16.421875" style="550" customWidth="1"/>
    <col min="6" max="6" width="16.7109375" style="550" customWidth="1"/>
    <col min="7" max="7" width="17.140625" style="573" hidden="1" customWidth="1"/>
    <col min="8" max="8" width="16.421875" style="550" customWidth="1"/>
    <col min="9" max="9" width="16.7109375" style="550" customWidth="1"/>
    <col min="10" max="10" width="17.140625" style="573" hidden="1" customWidth="1"/>
    <col min="11" max="11" width="15.421875" style="522" bestFit="1" customWidth="1"/>
    <col min="12" max="12" width="16.421875" style="522" bestFit="1" customWidth="1"/>
    <col min="13" max="13" width="15.57421875" style="522" hidden="1" customWidth="1"/>
    <col min="14" max="15" width="16.421875" style="522" bestFit="1" customWidth="1"/>
    <col min="16" max="16" width="16.421875" style="523" hidden="1" customWidth="1"/>
    <col min="17" max="17" width="14.8515625" style="522" bestFit="1" customWidth="1"/>
    <col min="18" max="18" width="16.421875" style="522" bestFit="1" customWidth="1"/>
    <col min="19" max="19" width="20.28125" style="522" hidden="1" customWidth="1"/>
    <col min="20" max="20" width="14.8515625" style="522" bestFit="1" customWidth="1"/>
    <col min="21" max="21" width="16.421875" style="522" bestFit="1" customWidth="1"/>
    <col min="22" max="22" width="15.57421875" style="522" hidden="1" customWidth="1"/>
    <col min="23" max="23" width="15.421875" style="522" bestFit="1" customWidth="1"/>
    <col min="24" max="24" width="16.57421875" style="522" bestFit="1" customWidth="1"/>
    <col min="25" max="25" width="12.7109375" style="524" hidden="1" customWidth="1"/>
    <col min="26" max="26" width="15.421875" style="522" bestFit="1" customWidth="1"/>
    <col min="27" max="27" width="16.421875" style="522" bestFit="1" customWidth="1"/>
    <col min="28" max="28" width="15.57421875" style="522" hidden="1" customWidth="1"/>
    <col min="29" max="29" width="15.421875" style="522" bestFit="1" customWidth="1"/>
    <col min="30" max="30" width="16.421875" style="522" bestFit="1" customWidth="1"/>
    <col min="31" max="31" width="15.57421875" style="522" hidden="1" customWidth="1"/>
    <col min="32" max="16384" width="9.140625" style="522" customWidth="1"/>
  </cols>
  <sheetData>
    <row r="1" spans="1:25" s="519" customFormat="1" ht="21.75" customHeight="1">
      <c r="A1" s="884" t="s">
        <v>309</v>
      </c>
      <c r="B1" s="884"/>
      <c r="C1" s="518"/>
      <c r="D1" s="518"/>
      <c r="E1" s="518"/>
      <c r="F1" s="518"/>
      <c r="G1" s="518"/>
      <c r="H1" s="518"/>
      <c r="I1" s="518"/>
      <c r="J1" s="518"/>
      <c r="Y1" s="520"/>
    </row>
    <row r="2" spans="1:25" s="519" customFormat="1" ht="15">
      <c r="A2" s="885" t="s">
        <v>310</v>
      </c>
      <c r="B2" s="885"/>
      <c r="C2" s="518"/>
      <c r="D2" s="518"/>
      <c r="E2" s="518"/>
      <c r="F2" s="518"/>
      <c r="G2" s="518"/>
      <c r="H2" s="518"/>
      <c r="I2" s="518"/>
      <c r="J2" s="518"/>
      <c r="Y2" s="520"/>
    </row>
    <row r="3" spans="1:10" ht="12.75">
      <c r="A3" s="25"/>
      <c r="C3" s="521"/>
      <c r="D3" s="521"/>
      <c r="E3" s="521"/>
      <c r="F3" s="521"/>
      <c r="G3" s="521"/>
      <c r="H3" s="521"/>
      <c r="I3" s="521"/>
      <c r="J3" s="521"/>
    </row>
    <row r="4" spans="1:10" ht="12.75" hidden="1">
      <c r="A4" s="25"/>
      <c r="C4" s="521"/>
      <c r="D4" s="521"/>
      <c r="E4" s="521"/>
      <c r="F4" s="521"/>
      <c r="G4" s="521"/>
      <c r="H4" s="521"/>
      <c r="I4" s="521"/>
      <c r="J4" s="521"/>
    </row>
    <row r="5" spans="1:10" ht="12.75" hidden="1">
      <c r="A5" s="25"/>
      <c r="C5" s="521"/>
      <c r="D5" s="521"/>
      <c r="E5" s="521"/>
      <c r="F5" s="521"/>
      <c r="G5" s="521"/>
      <c r="H5" s="521"/>
      <c r="I5" s="521"/>
      <c r="J5" s="521"/>
    </row>
    <row r="6" spans="1:10" ht="22.5" customHeight="1">
      <c r="A6" s="886" t="s">
        <v>642</v>
      </c>
      <c r="B6" s="886"/>
      <c r="C6" s="886"/>
      <c r="D6" s="886"/>
      <c r="E6" s="525"/>
      <c r="F6" s="525"/>
      <c r="G6" s="525"/>
      <c r="H6" s="525"/>
      <c r="I6" s="525"/>
      <c r="J6" s="525"/>
    </row>
    <row r="7" spans="1:10" ht="6" customHeight="1" hidden="1">
      <c r="A7" s="26"/>
      <c r="C7" s="526"/>
      <c r="D7" s="526"/>
      <c r="E7" s="526"/>
      <c r="F7" s="526"/>
      <c r="G7" s="526"/>
      <c r="H7" s="526"/>
      <c r="I7" s="526"/>
      <c r="J7" s="526"/>
    </row>
    <row r="8" spans="1:10" ht="12.75">
      <c r="A8" s="26"/>
      <c r="C8" s="526"/>
      <c r="D8" s="526"/>
      <c r="E8" s="526"/>
      <c r="F8" s="526"/>
      <c r="G8" s="526"/>
      <c r="H8" s="526"/>
      <c r="I8" s="526"/>
      <c r="J8" s="526"/>
    </row>
    <row r="9" spans="1:31" ht="12.75">
      <c r="A9" s="27"/>
      <c r="B9" s="527"/>
      <c r="C9" s="883" t="s">
        <v>690</v>
      </c>
      <c r="D9" s="883"/>
      <c r="E9" s="883" t="s">
        <v>691</v>
      </c>
      <c r="F9" s="883"/>
      <c r="G9" s="883"/>
      <c r="H9" s="883" t="s">
        <v>249</v>
      </c>
      <c r="I9" s="883"/>
      <c r="J9" s="883"/>
      <c r="K9" s="883" t="s">
        <v>250</v>
      </c>
      <c r="L9" s="883"/>
      <c r="M9" s="883"/>
      <c r="N9" s="883" t="s">
        <v>251</v>
      </c>
      <c r="O9" s="883"/>
      <c r="P9" s="883"/>
      <c r="Q9" s="883" t="s">
        <v>722</v>
      </c>
      <c r="R9" s="883"/>
      <c r="S9" s="883"/>
      <c r="T9" s="883" t="s">
        <v>723</v>
      </c>
      <c r="U9" s="883"/>
      <c r="V9" s="883"/>
      <c r="W9" s="883" t="s">
        <v>724</v>
      </c>
      <c r="X9" s="883"/>
      <c r="Y9" s="883"/>
      <c r="Z9" s="883" t="s">
        <v>248</v>
      </c>
      <c r="AA9" s="883"/>
      <c r="AB9" s="883"/>
      <c r="AC9" s="883" t="s">
        <v>643</v>
      </c>
      <c r="AD9" s="883"/>
      <c r="AE9" s="883"/>
    </row>
    <row r="10" spans="1:31" s="1" customFormat="1" ht="12.75" customHeight="1">
      <c r="A10" s="890" t="s">
        <v>12</v>
      </c>
      <c r="B10" s="893" t="s">
        <v>0</v>
      </c>
      <c r="C10" s="889" t="s">
        <v>9</v>
      </c>
      <c r="D10" s="889"/>
      <c r="E10" s="889" t="s">
        <v>9</v>
      </c>
      <c r="F10" s="889"/>
      <c r="G10" s="889" t="s">
        <v>10</v>
      </c>
      <c r="H10" s="889" t="s">
        <v>9</v>
      </c>
      <c r="I10" s="889"/>
      <c r="J10" s="889" t="s">
        <v>10</v>
      </c>
      <c r="K10" s="889" t="s">
        <v>9</v>
      </c>
      <c r="L10" s="889"/>
      <c r="M10" s="889" t="s">
        <v>10</v>
      </c>
      <c r="N10" s="889" t="s">
        <v>9</v>
      </c>
      <c r="O10" s="889"/>
      <c r="P10" s="889" t="s">
        <v>10</v>
      </c>
      <c r="Q10" s="889" t="s">
        <v>9</v>
      </c>
      <c r="R10" s="889"/>
      <c r="S10" s="889" t="s">
        <v>10</v>
      </c>
      <c r="T10" s="889" t="s">
        <v>9</v>
      </c>
      <c r="U10" s="889"/>
      <c r="V10" s="889" t="s">
        <v>10</v>
      </c>
      <c r="W10" s="889" t="s">
        <v>9</v>
      </c>
      <c r="X10" s="889"/>
      <c r="Y10" s="896" t="s">
        <v>10</v>
      </c>
      <c r="Z10" s="889" t="s">
        <v>9</v>
      </c>
      <c r="AA10" s="889"/>
      <c r="AB10" s="896" t="s">
        <v>10</v>
      </c>
      <c r="AC10" s="889" t="s">
        <v>9</v>
      </c>
      <c r="AD10" s="889"/>
      <c r="AE10" s="896" t="s">
        <v>10</v>
      </c>
    </row>
    <row r="11" spans="1:31" s="1" customFormat="1" ht="12.75" customHeight="1">
      <c r="A11" s="891"/>
      <c r="B11" s="894"/>
      <c r="C11" s="887" t="s">
        <v>644</v>
      </c>
      <c r="D11" s="887" t="s">
        <v>2</v>
      </c>
      <c r="E11" s="887" t="s">
        <v>644</v>
      </c>
      <c r="F11" s="887" t="s">
        <v>2</v>
      </c>
      <c r="G11" s="889"/>
      <c r="H11" s="887" t="s">
        <v>644</v>
      </c>
      <c r="I11" s="887" t="s">
        <v>2</v>
      </c>
      <c r="J11" s="889"/>
      <c r="K11" s="887" t="s">
        <v>644</v>
      </c>
      <c r="L11" s="887" t="s">
        <v>2</v>
      </c>
      <c r="M11" s="889"/>
      <c r="N11" s="887" t="s">
        <v>644</v>
      </c>
      <c r="O11" s="887" t="s">
        <v>2</v>
      </c>
      <c r="P11" s="889"/>
      <c r="Q11" s="887" t="s">
        <v>644</v>
      </c>
      <c r="R11" s="887" t="s">
        <v>2</v>
      </c>
      <c r="S11" s="889"/>
      <c r="T11" s="887" t="s">
        <v>644</v>
      </c>
      <c r="U11" s="887" t="s">
        <v>2</v>
      </c>
      <c r="V11" s="889"/>
      <c r="W11" s="887" t="s">
        <v>644</v>
      </c>
      <c r="X11" s="887" t="s">
        <v>2</v>
      </c>
      <c r="Y11" s="896"/>
      <c r="Z11" s="887" t="s">
        <v>644</v>
      </c>
      <c r="AA11" s="887" t="s">
        <v>2</v>
      </c>
      <c r="AB11" s="896"/>
      <c r="AC11" s="887" t="s">
        <v>644</v>
      </c>
      <c r="AD11" s="887" t="s">
        <v>2</v>
      </c>
      <c r="AE11" s="896"/>
    </row>
    <row r="12" spans="1:31" s="1" customFormat="1" ht="12.75">
      <c r="A12" s="892"/>
      <c r="B12" s="895"/>
      <c r="C12" s="888"/>
      <c r="D12" s="888"/>
      <c r="E12" s="888"/>
      <c r="F12" s="888"/>
      <c r="G12" s="889"/>
      <c r="H12" s="888"/>
      <c r="I12" s="888"/>
      <c r="J12" s="889"/>
      <c r="K12" s="888"/>
      <c r="L12" s="888"/>
      <c r="M12" s="889"/>
      <c r="N12" s="888"/>
      <c r="O12" s="888"/>
      <c r="P12" s="889"/>
      <c r="Q12" s="888"/>
      <c r="R12" s="888"/>
      <c r="S12" s="889"/>
      <c r="T12" s="888"/>
      <c r="U12" s="888"/>
      <c r="V12" s="889"/>
      <c r="W12" s="888"/>
      <c r="X12" s="888"/>
      <c r="Y12" s="896"/>
      <c r="Z12" s="888"/>
      <c r="AA12" s="888"/>
      <c r="AB12" s="896"/>
      <c r="AC12" s="888"/>
      <c r="AD12" s="888"/>
      <c r="AE12" s="896"/>
    </row>
    <row r="13" spans="1:31" s="2" customFormat="1" ht="12.75">
      <c r="A13" s="28" t="s">
        <v>13</v>
      </c>
      <c r="B13" s="528" t="s">
        <v>14</v>
      </c>
      <c r="C13" s="529">
        <v>1</v>
      </c>
      <c r="D13" s="529">
        <v>2</v>
      </c>
      <c r="E13" s="529">
        <v>1</v>
      </c>
      <c r="F13" s="529">
        <v>2</v>
      </c>
      <c r="G13" s="529" t="s">
        <v>645</v>
      </c>
      <c r="H13" s="529">
        <v>1</v>
      </c>
      <c r="I13" s="529">
        <v>2</v>
      </c>
      <c r="J13" s="529">
        <v>3</v>
      </c>
      <c r="K13" s="529">
        <v>1</v>
      </c>
      <c r="L13" s="529">
        <v>2</v>
      </c>
      <c r="M13" s="529">
        <v>3</v>
      </c>
      <c r="N13" s="529">
        <v>1</v>
      </c>
      <c r="O13" s="529">
        <v>2</v>
      </c>
      <c r="P13" s="529">
        <v>3</v>
      </c>
      <c r="Q13" s="529">
        <v>1</v>
      </c>
      <c r="R13" s="529">
        <v>2</v>
      </c>
      <c r="S13" s="529">
        <v>3</v>
      </c>
      <c r="T13" s="529">
        <v>1</v>
      </c>
      <c r="U13" s="529">
        <v>2</v>
      </c>
      <c r="V13" s="529">
        <v>3</v>
      </c>
      <c r="W13" s="529">
        <v>1</v>
      </c>
      <c r="X13" s="529">
        <v>2</v>
      </c>
      <c r="Y13" s="530">
        <v>3</v>
      </c>
      <c r="Z13" s="529">
        <v>1</v>
      </c>
      <c r="AA13" s="529">
        <v>2</v>
      </c>
      <c r="AB13" s="530">
        <v>3</v>
      </c>
      <c r="AC13" s="529">
        <v>1</v>
      </c>
      <c r="AD13" s="529">
        <v>2</v>
      </c>
      <c r="AE13" s="530">
        <v>3</v>
      </c>
    </row>
    <row r="14" spans="1:31" s="535" customFormat="1" ht="18.75" customHeight="1">
      <c r="A14" s="531" t="s">
        <v>16</v>
      </c>
      <c r="B14" s="532" t="s">
        <v>313</v>
      </c>
      <c r="C14" s="533">
        <f aca="true" t="shared" si="0" ref="C14:AE14">C15+C107</f>
        <v>720500000000</v>
      </c>
      <c r="D14" s="533">
        <f t="shared" si="0"/>
        <v>0</v>
      </c>
      <c r="E14" s="533">
        <f>E15+E107</f>
        <v>660500000000</v>
      </c>
      <c r="F14" s="533">
        <f>F15+F107</f>
        <v>0</v>
      </c>
      <c r="G14" s="533" t="e">
        <f>G15+G107</f>
        <v>#REF!</v>
      </c>
      <c r="H14" s="533">
        <f t="shared" si="0"/>
        <v>0</v>
      </c>
      <c r="I14" s="533">
        <f t="shared" si="0"/>
        <v>0</v>
      </c>
      <c r="J14" s="533">
        <f t="shared" si="0"/>
        <v>62895050275</v>
      </c>
      <c r="K14" s="533">
        <f t="shared" si="0"/>
        <v>19500000000</v>
      </c>
      <c r="L14" s="533">
        <f t="shared" si="0"/>
        <v>0</v>
      </c>
      <c r="M14" s="533">
        <f t="shared" si="0"/>
        <v>105079748490</v>
      </c>
      <c r="N14" s="533">
        <f t="shared" si="0"/>
        <v>0</v>
      </c>
      <c r="O14" s="533">
        <f t="shared" si="0"/>
        <v>0</v>
      </c>
      <c r="P14" s="533">
        <f t="shared" si="0"/>
        <v>492032475611</v>
      </c>
      <c r="Q14" s="533">
        <f t="shared" si="0"/>
        <v>0</v>
      </c>
      <c r="R14" s="533">
        <f t="shared" si="0"/>
        <v>0</v>
      </c>
      <c r="S14" s="533">
        <f t="shared" si="0"/>
        <v>291527496937</v>
      </c>
      <c r="T14" s="533">
        <f t="shared" si="0"/>
        <v>32500000000</v>
      </c>
      <c r="U14" s="533">
        <f t="shared" si="0"/>
        <v>0</v>
      </c>
      <c r="V14" s="533">
        <f t="shared" si="0"/>
        <v>19492373285</v>
      </c>
      <c r="W14" s="533">
        <f t="shared" si="0"/>
        <v>0</v>
      </c>
      <c r="X14" s="533">
        <f t="shared" si="0"/>
        <v>0</v>
      </c>
      <c r="Y14" s="534">
        <f t="shared" si="0"/>
        <v>19492373285</v>
      </c>
      <c r="Z14" s="533">
        <f t="shared" si="0"/>
        <v>10000000000</v>
      </c>
      <c r="AA14" s="533">
        <f t="shared" si="0"/>
        <v>0</v>
      </c>
      <c r="AB14" s="534">
        <f t="shared" si="0"/>
        <v>19198813995</v>
      </c>
      <c r="AC14" s="533">
        <f t="shared" si="0"/>
        <v>25000000000</v>
      </c>
      <c r="AD14" s="533">
        <f t="shared" si="0"/>
        <v>0</v>
      </c>
      <c r="AE14" s="534">
        <f t="shared" si="0"/>
        <v>121336814123</v>
      </c>
    </row>
    <row r="15" spans="1:31" s="535" customFormat="1" ht="18.75" customHeight="1">
      <c r="A15" s="536" t="s">
        <v>13</v>
      </c>
      <c r="B15" s="537" t="s">
        <v>17</v>
      </c>
      <c r="C15" s="538">
        <f aca="true" t="shared" si="1" ref="C15:AE15">C16+C98+C103+C104+C105+C106</f>
        <v>720500000000</v>
      </c>
      <c r="D15" s="538">
        <f t="shared" si="1"/>
        <v>0</v>
      </c>
      <c r="E15" s="538">
        <f>E16+E98+E103+E104+E105+E106</f>
        <v>633500000000</v>
      </c>
      <c r="F15" s="538">
        <f>F16+F98+F103+F104+F105+F106</f>
        <v>0</v>
      </c>
      <c r="G15" s="538" t="e">
        <f>G16+G98+G103+G104+G105+G106</f>
        <v>#REF!</v>
      </c>
      <c r="H15" s="538">
        <f t="shared" si="1"/>
        <v>0</v>
      </c>
      <c r="I15" s="538">
        <f t="shared" si="1"/>
        <v>0</v>
      </c>
      <c r="J15" s="538">
        <f t="shared" si="1"/>
        <v>62895050275</v>
      </c>
      <c r="K15" s="538">
        <f t="shared" si="1"/>
        <v>19500000000</v>
      </c>
      <c r="L15" s="538">
        <f t="shared" si="1"/>
        <v>0</v>
      </c>
      <c r="M15" s="538">
        <f t="shared" si="1"/>
        <v>104272028490</v>
      </c>
      <c r="N15" s="538">
        <f t="shared" si="1"/>
        <v>0</v>
      </c>
      <c r="O15" s="538">
        <f t="shared" si="1"/>
        <v>0</v>
      </c>
      <c r="P15" s="538">
        <f t="shared" si="1"/>
        <v>476876268231</v>
      </c>
      <c r="Q15" s="538">
        <f t="shared" si="1"/>
        <v>0</v>
      </c>
      <c r="R15" s="538">
        <f t="shared" si="1"/>
        <v>0</v>
      </c>
      <c r="S15" s="538">
        <f t="shared" si="1"/>
        <v>277912321125</v>
      </c>
      <c r="T15" s="538">
        <f t="shared" si="1"/>
        <v>32500000000</v>
      </c>
      <c r="U15" s="538">
        <f t="shared" si="1"/>
        <v>0</v>
      </c>
      <c r="V15" s="538">
        <f t="shared" si="1"/>
        <v>17561173895</v>
      </c>
      <c r="W15" s="538">
        <f t="shared" si="1"/>
        <v>0</v>
      </c>
      <c r="X15" s="538">
        <f t="shared" si="1"/>
        <v>0</v>
      </c>
      <c r="Y15" s="539">
        <f t="shared" si="1"/>
        <v>17561173895</v>
      </c>
      <c r="Z15" s="538">
        <f t="shared" si="1"/>
        <v>10000000000</v>
      </c>
      <c r="AA15" s="538">
        <f t="shared" si="1"/>
        <v>0</v>
      </c>
      <c r="AB15" s="539">
        <f t="shared" si="1"/>
        <v>17267614605</v>
      </c>
      <c r="AC15" s="538">
        <f t="shared" si="1"/>
        <v>25000000000</v>
      </c>
      <c r="AD15" s="538">
        <f t="shared" si="1"/>
        <v>0</v>
      </c>
      <c r="AE15" s="539">
        <f t="shared" si="1"/>
        <v>111970307214</v>
      </c>
    </row>
    <row r="16" spans="1:31" s="535" customFormat="1" ht="18.75" customHeight="1">
      <c r="A16" s="536" t="s">
        <v>18</v>
      </c>
      <c r="B16" s="537" t="s">
        <v>19</v>
      </c>
      <c r="C16" s="538">
        <f aca="true" t="shared" si="2" ref="C16:O16">C17+C35+C43+C59+C60+C61+C63+C64+C68+C77+C84</f>
        <v>720500000000</v>
      </c>
      <c r="D16" s="538">
        <f t="shared" si="2"/>
        <v>0</v>
      </c>
      <c r="E16" s="538">
        <f>E17+E35+E43+E59+E60+E61+E63+E64+E68+E77+E84</f>
        <v>633500000000</v>
      </c>
      <c r="F16" s="538">
        <f>F17+F35+F43+F59+F60+F61+F63+F64+F68+F77+F84</f>
        <v>0</v>
      </c>
      <c r="G16" s="538" t="e">
        <f>G17+G35+G43+G59+G60+G61+G63+G64+G68+G77+G84</f>
        <v>#REF!</v>
      </c>
      <c r="H16" s="538">
        <f t="shared" si="2"/>
        <v>0</v>
      </c>
      <c r="I16" s="538">
        <f t="shared" si="2"/>
        <v>0</v>
      </c>
      <c r="J16" s="538">
        <f t="shared" si="2"/>
        <v>13290214278</v>
      </c>
      <c r="K16" s="538">
        <f t="shared" si="2"/>
        <v>19500000000</v>
      </c>
      <c r="L16" s="538">
        <f t="shared" si="2"/>
        <v>0</v>
      </c>
      <c r="M16" s="538">
        <f t="shared" si="2"/>
        <v>28177325550</v>
      </c>
      <c r="N16" s="538">
        <f t="shared" si="2"/>
        <v>0</v>
      </c>
      <c r="O16" s="538">
        <f t="shared" si="2"/>
        <v>0</v>
      </c>
      <c r="P16" s="538">
        <f>P17+P35+P43+P59+P60+P61+P63+P64+P68+P77+P84+P58+P62</f>
        <v>398847341650</v>
      </c>
      <c r="Q16" s="538">
        <f>Q17+Q35+Q43+Q59+Q60+Q61+Q63+Q64+Q68+Q77+Q84</f>
        <v>0</v>
      </c>
      <c r="R16" s="538">
        <f>R17+R35+R43+R59+R60+R61+R63+R64+R68+R77+R84</f>
        <v>0</v>
      </c>
      <c r="S16" s="538">
        <f>S17+S35+S43+S59+S60+S61+S63+S64+S68+S77+S84+S58</f>
        <v>28617126683</v>
      </c>
      <c r="T16" s="538">
        <f>T17+T35+T43+T59+T60+T61+T63+T64+T68+T77+T84</f>
        <v>32500000000</v>
      </c>
      <c r="U16" s="538">
        <f>U17+U35+U43+U59+U60+U61+U63+U64+U68+U77+U84</f>
        <v>0</v>
      </c>
      <c r="V16" s="538">
        <f>V17+V35+V43+V59+V60+V61+V63+V64+V68+V77+V84+V58+V62</f>
        <v>3853152713</v>
      </c>
      <c r="W16" s="538">
        <f>W17+W35+W43+W59+W60+W61+W63+W64+W68+W77+W84</f>
        <v>0</v>
      </c>
      <c r="X16" s="538">
        <f>X17+X35+X43+X59+X60+X61+X63+X64+X68+X77+X84</f>
        <v>0</v>
      </c>
      <c r="Y16" s="539">
        <f>Y17+Y35+Y43+Y59+Y60+Y61+Y63+Y64+Y68+Y77+Y84+Y58+Y62</f>
        <v>3853152713</v>
      </c>
      <c r="Z16" s="538">
        <f>Z17+Z35+Z43+Z59+Z60+Z61+Z63+Z64+Z68+Z77+Z84</f>
        <v>10000000000</v>
      </c>
      <c r="AA16" s="538">
        <f>AA17+AA35+AA43+AA59+AA60+AA61+AA63+AA64+AA68+AA77+AA84</f>
        <v>0</v>
      </c>
      <c r="AB16" s="539">
        <f>AB17+AB35+AB43+AB59+AB60+AB61+AB63+AB64+AB68+AB77+AB84+AB58+AB62</f>
        <v>3559593423</v>
      </c>
      <c r="AC16" s="538">
        <f>AC17+AC35+AC43+AC59+AC60+AC61+AC63+AC64+AC68+AC77+AC84</f>
        <v>25000000000</v>
      </c>
      <c r="AD16" s="538">
        <f>AD17+AD35+AD43+AD59+AD60+AD61+AD63+AD64+AD68+AD77+AD84</f>
        <v>0</v>
      </c>
      <c r="AE16" s="539">
        <f>AE17+AE35+AE43+AE59+AE60+AE61+AE63+AE64+AE68+AE77+AE84+AE58+AE62</f>
        <v>98262286032</v>
      </c>
    </row>
    <row r="17" spans="1:31" s="535" customFormat="1" ht="18.75" customHeight="1">
      <c r="A17" s="536" t="s">
        <v>20</v>
      </c>
      <c r="B17" s="537" t="s">
        <v>21</v>
      </c>
      <c r="C17" s="538">
        <f>C18+C26</f>
        <v>297000000000</v>
      </c>
      <c r="D17" s="538">
        <f>D18+D26</f>
        <v>0</v>
      </c>
      <c r="E17" s="538">
        <f>E18+E26</f>
        <v>297000000000</v>
      </c>
      <c r="F17" s="538">
        <f>F18+F26</f>
        <v>0</v>
      </c>
      <c r="G17" s="538" t="e">
        <f>G18+G26+G34</f>
        <v>#REF!</v>
      </c>
      <c r="H17" s="538">
        <f>H18+H26</f>
        <v>0</v>
      </c>
      <c r="I17" s="538">
        <f>I18+I26</f>
        <v>0</v>
      </c>
      <c r="J17" s="538">
        <f>J18+J26+J34</f>
        <v>290011056</v>
      </c>
      <c r="K17" s="538">
        <f>K18+K26</f>
        <v>0</v>
      </c>
      <c r="L17" s="538">
        <f>L18+L26</f>
        <v>0</v>
      </c>
      <c r="M17" s="538">
        <f>M18+M26+M34</f>
        <v>1949716116</v>
      </c>
      <c r="N17" s="538">
        <f>N18+N26</f>
        <v>0</v>
      </c>
      <c r="O17" s="538">
        <f>O18+O26</f>
        <v>0</v>
      </c>
      <c r="P17" s="538">
        <f>P18+P26+P34</f>
        <v>149550074965</v>
      </c>
      <c r="Q17" s="538">
        <f>Q18+Q26</f>
        <v>0</v>
      </c>
      <c r="R17" s="538">
        <f>R18+R26</f>
        <v>0</v>
      </c>
      <c r="S17" s="538">
        <f>S18+S26+S34</f>
        <v>10604000</v>
      </c>
      <c r="T17" s="538">
        <f>T18+T26</f>
        <v>0</v>
      </c>
      <c r="U17" s="538">
        <f>U18+U26</f>
        <v>0</v>
      </c>
      <c r="V17" s="538">
        <f>V18+V26+V34</f>
        <v>32969790</v>
      </c>
      <c r="W17" s="538">
        <f>W18+W26</f>
        <v>0</v>
      </c>
      <c r="X17" s="538">
        <f>X18+X26</f>
        <v>0</v>
      </c>
      <c r="Y17" s="539">
        <f>Y18+Y26+Y34</f>
        <v>32969790</v>
      </c>
      <c r="Z17" s="538">
        <f>Z18+Z26</f>
        <v>0</v>
      </c>
      <c r="AA17" s="538">
        <f>AA18+AA26</f>
        <v>0</v>
      </c>
      <c r="AB17" s="539">
        <f>AB18+AB26+AB34</f>
        <v>32969790</v>
      </c>
      <c r="AC17" s="538">
        <f>AC18+AC26</f>
        <v>0</v>
      </c>
      <c r="AD17" s="538">
        <f>AD18+AD26</f>
        <v>0</v>
      </c>
      <c r="AE17" s="539">
        <f>AE18+AE26+AE34</f>
        <v>32969790</v>
      </c>
    </row>
    <row r="18" spans="1:31" s="544" customFormat="1" ht="18.75" customHeight="1">
      <c r="A18" s="540" t="s">
        <v>22</v>
      </c>
      <c r="B18" s="541" t="s">
        <v>646</v>
      </c>
      <c r="C18" s="542">
        <f aca="true" t="shared" si="3" ref="C18:AE18">SUM(C19:C25)</f>
        <v>140000000000</v>
      </c>
      <c r="D18" s="542">
        <f t="shared" si="3"/>
        <v>0</v>
      </c>
      <c r="E18" s="542">
        <f>SUM(E19:E25)</f>
        <v>140000000000</v>
      </c>
      <c r="F18" s="542">
        <f>SUM(F19:F25)</f>
        <v>0</v>
      </c>
      <c r="G18" s="542" t="e">
        <f>SUM(G19:G25)</f>
        <v>#REF!</v>
      </c>
      <c r="H18" s="542">
        <f t="shared" si="3"/>
        <v>0</v>
      </c>
      <c r="I18" s="542">
        <f t="shared" si="3"/>
        <v>0</v>
      </c>
      <c r="J18" s="542">
        <f t="shared" si="3"/>
        <v>218346678</v>
      </c>
      <c r="K18" s="542">
        <f t="shared" si="3"/>
        <v>0</v>
      </c>
      <c r="L18" s="542">
        <f t="shared" si="3"/>
        <v>0</v>
      </c>
      <c r="M18" s="542">
        <f t="shared" si="3"/>
        <v>1225370000</v>
      </c>
      <c r="N18" s="542">
        <f t="shared" si="3"/>
        <v>0</v>
      </c>
      <c r="O18" s="542">
        <f t="shared" si="3"/>
        <v>0</v>
      </c>
      <c r="P18" s="542">
        <f t="shared" si="3"/>
        <v>67783973513</v>
      </c>
      <c r="Q18" s="542">
        <f t="shared" si="3"/>
        <v>0</v>
      </c>
      <c r="R18" s="542">
        <f t="shared" si="3"/>
        <v>0</v>
      </c>
      <c r="S18" s="542">
        <f t="shared" si="3"/>
        <v>10604000</v>
      </c>
      <c r="T18" s="542">
        <f t="shared" si="3"/>
        <v>0</v>
      </c>
      <c r="U18" s="542">
        <f t="shared" si="3"/>
        <v>0</v>
      </c>
      <c r="V18" s="542">
        <f t="shared" si="3"/>
        <v>0</v>
      </c>
      <c r="W18" s="542">
        <f t="shared" si="3"/>
        <v>0</v>
      </c>
      <c r="X18" s="542">
        <f t="shared" si="3"/>
        <v>0</v>
      </c>
      <c r="Y18" s="543">
        <f t="shared" si="3"/>
        <v>0</v>
      </c>
      <c r="Z18" s="542">
        <f t="shared" si="3"/>
        <v>0</v>
      </c>
      <c r="AA18" s="542">
        <f t="shared" si="3"/>
        <v>0</v>
      </c>
      <c r="AB18" s="543">
        <f t="shared" si="3"/>
        <v>0</v>
      </c>
      <c r="AC18" s="542">
        <f t="shared" si="3"/>
        <v>0</v>
      </c>
      <c r="AD18" s="542">
        <f t="shared" si="3"/>
        <v>0</v>
      </c>
      <c r="AE18" s="543">
        <f t="shared" si="3"/>
        <v>0</v>
      </c>
    </row>
    <row r="19" spans="1:31" ht="18.75" customHeight="1">
      <c r="A19" s="545" t="s">
        <v>23</v>
      </c>
      <c r="B19" s="546" t="s">
        <v>24</v>
      </c>
      <c r="C19" s="547">
        <f>E19+H19+K19+N19+Q19+T19+W19+Z19+AC19</f>
        <v>122783000000</v>
      </c>
      <c r="D19" s="547">
        <f>F19+I19+L19+O19+R19+U19+X19+AA19+AD19</f>
        <v>0</v>
      </c>
      <c r="E19" s="547">
        <v>122783000000</v>
      </c>
      <c r="F19" s="547"/>
      <c r="G19" s="547" t="e">
        <f>#REF!+#REF!</f>
        <v>#REF!</v>
      </c>
      <c r="H19" s="547"/>
      <c r="I19" s="547"/>
      <c r="J19" s="547">
        <v>200000000</v>
      </c>
      <c r="K19" s="547"/>
      <c r="L19" s="547"/>
      <c r="M19" s="547">
        <v>1225370000</v>
      </c>
      <c r="N19" s="547"/>
      <c r="O19" s="547"/>
      <c r="P19" s="548">
        <v>58866826302</v>
      </c>
      <c r="Q19" s="547"/>
      <c r="R19" s="547"/>
      <c r="S19" s="547">
        <v>10604000</v>
      </c>
      <c r="T19" s="547"/>
      <c r="U19" s="547"/>
      <c r="V19" s="547"/>
      <c r="W19" s="547"/>
      <c r="X19" s="547"/>
      <c r="Y19" s="549"/>
      <c r="Z19" s="547"/>
      <c r="AA19" s="547"/>
      <c r="AB19" s="549"/>
      <c r="AC19" s="547"/>
      <c r="AD19" s="547"/>
      <c r="AE19" s="549"/>
    </row>
    <row r="20" spans="1:31" ht="18.75" customHeight="1">
      <c r="A20" s="545" t="s">
        <v>25</v>
      </c>
      <c r="B20" s="546" t="s">
        <v>26</v>
      </c>
      <c r="C20" s="547">
        <f aca="true" t="shared" si="4" ref="C20:C33">E20+H20+K20+N20+Q20+T20+W20+Z20+AC20</f>
        <v>0</v>
      </c>
      <c r="D20" s="547">
        <f aca="true" t="shared" si="5" ref="D20:D25">F20+I20+L20+O20+R20+U20+X20+AA20+AD20</f>
        <v>0</v>
      </c>
      <c r="F20" s="547"/>
      <c r="G20" s="547" t="e">
        <f>#REF!+#REF!</f>
        <v>#REF!</v>
      </c>
      <c r="I20" s="547"/>
      <c r="J20" s="547">
        <v>18346678</v>
      </c>
      <c r="K20" s="550"/>
      <c r="L20" s="547"/>
      <c r="M20" s="547"/>
      <c r="N20" s="550"/>
      <c r="O20" s="547"/>
      <c r="P20" s="548"/>
      <c r="Q20" s="550"/>
      <c r="R20" s="547"/>
      <c r="S20" s="547"/>
      <c r="T20" s="550"/>
      <c r="U20" s="547"/>
      <c r="V20" s="547"/>
      <c r="W20" s="550"/>
      <c r="X20" s="547"/>
      <c r="Y20" s="549"/>
      <c r="Z20" s="550"/>
      <c r="AA20" s="547"/>
      <c r="AB20" s="549"/>
      <c r="AC20" s="550"/>
      <c r="AD20" s="547"/>
      <c r="AE20" s="549"/>
    </row>
    <row r="21" spans="1:31" ht="18.75" customHeight="1">
      <c r="A21" s="545" t="s">
        <v>27</v>
      </c>
      <c r="B21" s="546" t="s">
        <v>28</v>
      </c>
      <c r="C21" s="547">
        <f t="shared" si="4"/>
        <v>5933000000</v>
      </c>
      <c r="D21" s="547">
        <f t="shared" si="5"/>
        <v>0</v>
      </c>
      <c r="E21" s="547">
        <v>5933000000</v>
      </c>
      <c r="F21" s="547"/>
      <c r="G21" s="547" t="e">
        <f>#REF!+#REF!</f>
        <v>#REF!</v>
      </c>
      <c r="H21" s="547"/>
      <c r="I21" s="547"/>
      <c r="J21" s="547"/>
      <c r="K21" s="547"/>
      <c r="L21" s="547"/>
      <c r="M21" s="547"/>
      <c r="N21" s="547"/>
      <c r="O21" s="547"/>
      <c r="P21" s="548">
        <v>1801685766</v>
      </c>
      <c r="Q21" s="547"/>
      <c r="R21" s="547"/>
      <c r="S21" s="547"/>
      <c r="T21" s="547"/>
      <c r="U21" s="547"/>
      <c r="V21" s="547"/>
      <c r="W21" s="547"/>
      <c r="X21" s="547"/>
      <c r="Y21" s="549"/>
      <c r="Z21" s="547"/>
      <c r="AA21" s="547"/>
      <c r="AB21" s="549"/>
      <c r="AC21" s="547"/>
      <c r="AD21" s="547"/>
      <c r="AE21" s="549"/>
    </row>
    <row r="22" spans="1:31" ht="18.75" customHeight="1">
      <c r="A22" s="545" t="s">
        <v>29</v>
      </c>
      <c r="B22" s="546" t="s">
        <v>30</v>
      </c>
      <c r="C22" s="547">
        <f t="shared" si="4"/>
        <v>0</v>
      </c>
      <c r="D22" s="547">
        <f t="shared" si="5"/>
        <v>0</v>
      </c>
      <c r="E22" s="547"/>
      <c r="F22" s="547"/>
      <c r="G22" s="547" t="e">
        <f>#REF!+#REF!</f>
        <v>#REF!</v>
      </c>
      <c r="H22" s="547"/>
      <c r="I22" s="547"/>
      <c r="J22" s="547"/>
      <c r="K22" s="547"/>
      <c r="L22" s="547"/>
      <c r="M22" s="547"/>
      <c r="N22" s="547"/>
      <c r="O22" s="547"/>
      <c r="P22" s="548"/>
      <c r="Q22" s="547"/>
      <c r="R22" s="547"/>
      <c r="S22" s="547"/>
      <c r="T22" s="547"/>
      <c r="U22" s="547"/>
      <c r="V22" s="547"/>
      <c r="W22" s="547"/>
      <c r="X22" s="547"/>
      <c r="Y22" s="549"/>
      <c r="Z22" s="547"/>
      <c r="AA22" s="547"/>
      <c r="AB22" s="549"/>
      <c r="AC22" s="547"/>
      <c r="AD22" s="547"/>
      <c r="AE22" s="549"/>
    </row>
    <row r="23" spans="1:31" ht="18.75" customHeight="1">
      <c r="A23" s="545" t="s">
        <v>31</v>
      </c>
      <c r="B23" s="546" t="s">
        <v>32</v>
      </c>
      <c r="C23" s="547">
        <f t="shared" si="4"/>
        <v>11084000000</v>
      </c>
      <c r="D23" s="547">
        <f t="shared" si="5"/>
        <v>0</v>
      </c>
      <c r="E23" s="547">
        <v>11084000000</v>
      </c>
      <c r="F23" s="547"/>
      <c r="G23" s="547" t="e">
        <f>#REF!+#REF!</f>
        <v>#REF!</v>
      </c>
      <c r="H23" s="547"/>
      <c r="I23" s="547"/>
      <c r="J23" s="547"/>
      <c r="K23" s="547"/>
      <c r="L23" s="547"/>
      <c r="M23" s="547"/>
      <c r="N23" s="547"/>
      <c r="O23" s="547"/>
      <c r="P23" s="548">
        <v>6988216590</v>
      </c>
      <c r="Q23" s="547"/>
      <c r="R23" s="547"/>
      <c r="S23" s="547"/>
      <c r="T23" s="547"/>
      <c r="U23" s="547"/>
      <c r="V23" s="547"/>
      <c r="W23" s="547"/>
      <c r="X23" s="547"/>
      <c r="Y23" s="549"/>
      <c r="Z23" s="547"/>
      <c r="AA23" s="547"/>
      <c r="AB23" s="549"/>
      <c r="AC23" s="547"/>
      <c r="AD23" s="547"/>
      <c r="AE23" s="549"/>
    </row>
    <row r="24" spans="1:31" ht="18.75" customHeight="1">
      <c r="A24" s="545" t="s">
        <v>33</v>
      </c>
      <c r="B24" s="546" t="s">
        <v>34</v>
      </c>
      <c r="C24" s="547">
        <f t="shared" si="4"/>
        <v>200000000</v>
      </c>
      <c r="D24" s="547">
        <f t="shared" si="5"/>
        <v>0</v>
      </c>
      <c r="E24" s="547">
        <v>200000000</v>
      </c>
      <c r="F24" s="547"/>
      <c r="G24" s="547" t="e">
        <f>#REF!+#REF!</f>
        <v>#REF!</v>
      </c>
      <c r="H24" s="547"/>
      <c r="I24" s="547"/>
      <c r="J24" s="547"/>
      <c r="K24" s="547"/>
      <c r="L24" s="547"/>
      <c r="M24" s="547"/>
      <c r="N24" s="547"/>
      <c r="O24" s="547"/>
      <c r="P24" s="548">
        <v>122000000</v>
      </c>
      <c r="Q24" s="547"/>
      <c r="R24" s="547"/>
      <c r="S24" s="547"/>
      <c r="T24" s="547"/>
      <c r="U24" s="547"/>
      <c r="V24" s="547"/>
      <c r="W24" s="547"/>
      <c r="X24" s="547"/>
      <c r="Y24" s="549"/>
      <c r="Z24" s="547"/>
      <c r="AA24" s="547"/>
      <c r="AB24" s="549"/>
      <c r="AC24" s="547"/>
      <c r="AD24" s="547"/>
      <c r="AE24" s="549"/>
    </row>
    <row r="25" spans="1:31" ht="18.75" customHeight="1">
      <c r="A25" s="545" t="s">
        <v>35</v>
      </c>
      <c r="B25" s="546" t="s">
        <v>36</v>
      </c>
      <c r="C25" s="547">
        <f t="shared" si="4"/>
        <v>0</v>
      </c>
      <c r="D25" s="547">
        <f t="shared" si="5"/>
        <v>0</v>
      </c>
      <c r="E25" s="547"/>
      <c r="F25" s="547"/>
      <c r="G25" s="547" t="e">
        <f>#REF!+#REF!</f>
        <v>#REF!</v>
      </c>
      <c r="H25" s="547"/>
      <c r="I25" s="547"/>
      <c r="J25" s="547"/>
      <c r="K25" s="547"/>
      <c r="L25" s="547"/>
      <c r="M25" s="547"/>
      <c r="N25" s="547"/>
      <c r="O25" s="547"/>
      <c r="P25" s="548">
        <v>5244855</v>
      </c>
      <c r="Q25" s="547"/>
      <c r="R25" s="547"/>
      <c r="S25" s="547"/>
      <c r="T25" s="547"/>
      <c r="U25" s="547"/>
      <c r="V25" s="547"/>
      <c r="W25" s="547"/>
      <c r="X25" s="547"/>
      <c r="Y25" s="549"/>
      <c r="Z25" s="547"/>
      <c r="AA25" s="547"/>
      <c r="AB25" s="549"/>
      <c r="AC25" s="547"/>
      <c r="AD25" s="547"/>
      <c r="AE25" s="549"/>
    </row>
    <row r="26" spans="1:31" s="544" customFormat="1" ht="18.75" customHeight="1">
      <c r="A26" s="540" t="s">
        <v>37</v>
      </c>
      <c r="B26" s="541" t="s">
        <v>38</v>
      </c>
      <c r="C26" s="542">
        <f aca="true" t="shared" si="6" ref="C26:AE26">SUM(C27:C33)</f>
        <v>157000000000</v>
      </c>
      <c r="D26" s="542">
        <f t="shared" si="6"/>
        <v>0</v>
      </c>
      <c r="E26" s="542">
        <f>SUM(E27:E33)</f>
        <v>157000000000</v>
      </c>
      <c r="F26" s="542">
        <f>SUM(F27:F33)</f>
        <v>0</v>
      </c>
      <c r="G26" s="542" t="e">
        <f>SUM(G27:G33)</f>
        <v>#REF!</v>
      </c>
      <c r="H26" s="542">
        <f t="shared" si="6"/>
        <v>0</v>
      </c>
      <c r="I26" s="542">
        <f t="shared" si="6"/>
        <v>0</v>
      </c>
      <c r="J26" s="542">
        <f t="shared" si="6"/>
        <v>71664378</v>
      </c>
      <c r="K26" s="542">
        <f t="shared" si="6"/>
        <v>0</v>
      </c>
      <c r="L26" s="542">
        <f t="shared" si="6"/>
        <v>0</v>
      </c>
      <c r="M26" s="542">
        <f t="shared" si="6"/>
        <v>724346116</v>
      </c>
      <c r="N26" s="542">
        <f t="shared" si="6"/>
        <v>0</v>
      </c>
      <c r="O26" s="542">
        <f t="shared" si="6"/>
        <v>0</v>
      </c>
      <c r="P26" s="542">
        <f t="shared" si="6"/>
        <v>81766101452</v>
      </c>
      <c r="Q26" s="542">
        <f t="shared" si="6"/>
        <v>0</v>
      </c>
      <c r="R26" s="542">
        <f t="shared" si="6"/>
        <v>0</v>
      </c>
      <c r="S26" s="542">
        <f t="shared" si="6"/>
        <v>0</v>
      </c>
      <c r="T26" s="542">
        <f t="shared" si="6"/>
        <v>0</v>
      </c>
      <c r="U26" s="542">
        <f t="shared" si="6"/>
        <v>0</v>
      </c>
      <c r="V26" s="542">
        <f t="shared" si="6"/>
        <v>32969790</v>
      </c>
      <c r="W26" s="542">
        <f t="shared" si="6"/>
        <v>0</v>
      </c>
      <c r="X26" s="542">
        <f t="shared" si="6"/>
        <v>0</v>
      </c>
      <c r="Y26" s="542">
        <f t="shared" si="6"/>
        <v>32969790</v>
      </c>
      <c r="Z26" s="542">
        <f t="shared" si="6"/>
        <v>0</v>
      </c>
      <c r="AA26" s="542">
        <f t="shared" si="6"/>
        <v>0</v>
      </c>
      <c r="AB26" s="542">
        <f t="shared" si="6"/>
        <v>32969790</v>
      </c>
      <c r="AC26" s="542">
        <f t="shared" si="6"/>
        <v>0</v>
      </c>
      <c r="AD26" s="542">
        <f t="shared" si="6"/>
        <v>0</v>
      </c>
      <c r="AE26" s="542">
        <f t="shared" si="6"/>
        <v>32969790</v>
      </c>
    </row>
    <row r="27" spans="1:31" ht="18.75" customHeight="1">
      <c r="A27" s="545" t="s">
        <v>39</v>
      </c>
      <c r="B27" s="546" t="s">
        <v>24</v>
      </c>
      <c r="C27" s="547">
        <f t="shared" si="4"/>
        <v>51189000000</v>
      </c>
      <c r="D27" s="547">
        <f aca="true" t="shared" si="7" ref="D27:D33">F27+I27+L27+O27+R27+U27+X27+AA27+AD27</f>
        <v>0</v>
      </c>
      <c r="E27" s="547">
        <v>51189000000</v>
      </c>
      <c r="F27" s="547"/>
      <c r="G27" s="547" t="e">
        <f>#REF!+#REF!</f>
        <v>#REF!</v>
      </c>
      <c r="H27" s="547"/>
      <c r="I27" s="547"/>
      <c r="J27" s="547">
        <v>35258439</v>
      </c>
      <c r="K27" s="547"/>
      <c r="L27" s="547"/>
      <c r="M27" s="547">
        <v>13991910</v>
      </c>
      <c r="N27" s="547"/>
      <c r="O27" s="547"/>
      <c r="P27" s="548">
        <v>19936315103</v>
      </c>
      <c r="Q27" s="547"/>
      <c r="R27" s="547"/>
      <c r="S27" s="547"/>
      <c r="T27" s="547"/>
      <c r="U27" s="547"/>
      <c r="V27" s="547">
        <v>13155610</v>
      </c>
      <c r="W27" s="547"/>
      <c r="X27" s="547"/>
      <c r="Y27" s="549">
        <v>13155610</v>
      </c>
      <c r="Z27" s="547"/>
      <c r="AA27" s="547"/>
      <c r="AB27" s="549">
        <v>13155610</v>
      </c>
      <c r="AC27" s="547"/>
      <c r="AD27" s="547"/>
      <c r="AE27" s="549">
        <v>13155610</v>
      </c>
    </row>
    <row r="28" spans="1:31" ht="18.75" customHeight="1">
      <c r="A28" s="545" t="s">
        <v>40</v>
      </c>
      <c r="B28" s="546" t="s">
        <v>26</v>
      </c>
      <c r="C28" s="547">
        <f t="shared" si="4"/>
        <v>81000000000</v>
      </c>
      <c r="D28" s="547">
        <f t="shared" si="7"/>
        <v>0</v>
      </c>
      <c r="E28" s="547">
        <v>81000000000</v>
      </c>
      <c r="F28" s="547"/>
      <c r="G28" s="547" t="e">
        <f>#REF!+#REF!</f>
        <v>#REF!</v>
      </c>
      <c r="H28" s="547"/>
      <c r="I28" s="547"/>
      <c r="J28" s="547"/>
      <c r="K28" s="547"/>
      <c r="L28" s="547"/>
      <c r="M28" s="547"/>
      <c r="N28" s="547"/>
      <c r="O28" s="547"/>
      <c r="P28" s="548">
        <v>50822752305</v>
      </c>
      <c r="Q28" s="547"/>
      <c r="R28" s="547"/>
      <c r="S28" s="547"/>
      <c r="T28" s="547"/>
      <c r="U28" s="547"/>
      <c r="V28" s="547"/>
      <c r="W28" s="547"/>
      <c r="X28" s="547"/>
      <c r="Y28" s="549"/>
      <c r="Z28" s="547"/>
      <c r="AA28" s="547"/>
      <c r="AB28" s="549"/>
      <c r="AC28" s="547"/>
      <c r="AD28" s="547"/>
      <c r="AE28" s="549"/>
    </row>
    <row r="29" spans="1:31" ht="18.75" customHeight="1">
      <c r="A29" s="545" t="s">
        <v>41</v>
      </c>
      <c r="B29" s="546" t="s">
        <v>28</v>
      </c>
      <c r="C29" s="547">
        <f t="shared" si="4"/>
        <v>12678000000</v>
      </c>
      <c r="D29" s="547">
        <f t="shared" si="7"/>
        <v>0</v>
      </c>
      <c r="E29" s="547">
        <v>12678000000</v>
      </c>
      <c r="F29" s="547"/>
      <c r="G29" s="547" t="e">
        <f>#REF!+#REF!</f>
        <v>#REF!</v>
      </c>
      <c r="H29" s="547"/>
      <c r="I29" s="547"/>
      <c r="J29" s="547">
        <v>34405939</v>
      </c>
      <c r="K29" s="547"/>
      <c r="L29" s="547"/>
      <c r="M29" s="547">
        <v>6696910</v>
      </c>
      <c r="N29" s="547"/>
      <c r="O29" s="547"/>
      <c r="P29" s="548">
        <v>7374291703</v>
      </c>
      <c r="Q29" s="547"/>
      <c r="R29" s="547"/>
      <c r="S29" s="547"/>
      <c r="T29" s="547"/>
      <c r="U29" s="547"/>
      <c r="V29" s="547">
        <v>19814180</v>
      </c>
      <c r="W29" s="547"/>
      <c r="X29" s="547"/>
      <c r="Y29" s="549">
        <v>19814180</v>
      </c>
      <c r="Z29" s="547"/>
      <c r="AA29" s="547"/>
      <c r="AB29" s="549">
        <v>19814180</v>
      </c>
      <c r="AC29" s="547"/>
      <c r="AD29" s="547"/>
      <c r="AE29" s="549">
        <v>19814180</v>
      </c>
    </row>
    <row r="30" spans="1:31" ht="18.75" customHeight="1">
      <c r="A30" s="545" t="s">
        <v>42</v>
      </c>
      <c r="B30" s="546" t="s">
        <v>32</v>
      </c>
      <c r="C30" s="547">
        <f t="shared" si="4"/>
        <v>8130000000</v>
      </c>
      <c r="D30" s="547">
        <f t="shared" si="7"/>
        <v>0</v>
      </c>
      <c r="E30" s="547">
        <v>8130000000</v>
      </c>
      <c r="F30" s="547"/>
      <c r="G30" s="547" t="e">
        <f>#REF!+#REF!</f>
        <v>#REF!</v>
      </c>
      <c r="H30" s="547"/>
      <c r="I30" s="547"/>
      <c r="J30" s="547"/>
      <c r="K30" s="547"/>
      <c r="L30" s="547"/>
      <c r="M30" s="547"/>
      <c r="N30" s="547"/>
      <c r="O30" s="547"/>
      <c r="P30" s="548">
        <v>137490000</v>
      </c>
      <c r="Q30" s="547"/>
      <c r="R30" s="547"/>
      <c r="S30" s="547"/>
      <c r="T30" s="547"/>
      <c r="U30" s="547"/>
      <c r="V30" s="547"/>
      <c r="W30" s="547"/>
      <c r="X30" s="547"/>
      <c r="Y30" s="549"/>
      <c r="Z30" s="547"/>
      <c r="AA30" s="547"/>
      <c r="AB30" s="549"/>
      <c r="AC30" s="547"/>
      <c r="AD30" s="547"/>
      <c r="AE30" s="549"/>
    </row>
    <row r="31" spans="1:31" ht="18.75" customHeight="1">
      <c r="A31" s="545" t="s">
        <v>43</v>
      </c>
      <c r="B31" s="546" t="s">
        <v>34</v>
      </c>
      <c r="C31" s="547">
        <f t="shared" si="4"/>
        <v>94000000</v>
      </c>
      <c r="D31" s="547">
        <f t="shared" si="7"/>
        <v>0</v>
      </c>
      <c r="E31" s="547">
        <v>94000000</v>
      </c>
      <c r="F31" s="547"/>
      <c r="G31" s="547" t="e">
        <f>#REF!+#REF!</f>
        <v>#REF!</v>
      </c>
      <c r="H31" s="547"/>
      <c r="I31" s="547"/>
      <c r="J31" s="547">
        <v>2000000</v>
      </c>
      <c r="K31" s="547"/>
      <c r="L31" s="547"/>
      <c r="M31" s="547">
        <v>703657296</v>
      </c>
      <c r="N31" s="547"/>
      <c r="O31" s="547"/>
      <c r="P31" s="548">
        <v>50526670</v>
      </c>
      <c r="Q31" s="547"/>
      <c r="R31" s="547"/>
      <c r="S31" s="547"/>
      <c r="T31" s="547"/>
      <c r="U31" s="547"/>
      <c r="V31" s="547"/>
      <c r="W31" s="547"/>
      <c r="X31" s="547"/>
      <c r="Y31" s="549"/>
      <c r="Z31" s="547"/>
      <c r="AA31" s="547"/>
      <c r="AB31" s="549"/>
      <c r="AC31" s="547"/>
      <c r="AD31" s="547"/>
      <c r="AE31" s="549"/>
    </row>
    <row r="32" spans="1:31" ht="18.75" customHeight="1">
      <c r="A32" s="545" t="s">
        <v>44</v>
      </c>
      <c r="B32" s="546" t="s">
        <v>647</v>
      </c>
      <c r="C32" s="547">
        <f t="shared" si="4"/>
        <v>0</v>
      </c>
      <c r="D32" s="547">
        <f t="shared" si="7"/>
        <v>0</v>
      </c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8">
        <v>3349526573</v>
      </c>
      <c r="Q32" s="547"/>
      <c r="R32" s="547"/>
      <c r="S32" s="547"/>
      <c r="T32" s="547"/>
      <c r="U32" s="547"/>
      <c r="V32" s="547"/>
      <c r="W32" s="547"/>
      <c r="X32" s="547"/>
      <c r="Y32" s="549"/>
      <c r="Z32" s="547"/>
      <c r="AA32" s="547"/>
      <c r="AB32" s="549"/>
      <c r="AC32" s="547"/>
      <c r="AD32" s="547"/>
      <c r="AE32" s="549"/>
    </row>
    <row r="33" spans="1:31" ht="18.75" customHeight="1">
      <c r="A33" s="545" t="s">
        <v>648</v>
      </c>
      <c r="B33" s="546" t="s">
        <v>36</v>
      </c>
      <c r="C33" s="547">
        <f t="shared" si="4"/>
        <v>3909000000</v>
      </c>
      <c r="D33" s="547">
        <f t="shared" si="7"/>
        <v>0</v>
      </c>
      <c r="E33" s="547">
        <v>3909000000</v>
      </c>
      <c r="F33" s="547"/>
      <c r="G33" s="547" t="e">
        <f>#REF!+#REF!</f>
        <v>#REF!</v>
      </c>
      <c r="H33" s="547"/>
      <c r="I33" s="547"/>
      <c r="J33" s="547"/>
      <c r="K33" s="547"/>
      <c r="L33" s="547"/>
      <c r="M33" s="547"/>
      <c r="N33" s="547"/>
      <c r="O33" s="547"/>
      <c r="P33" s="548">
        <v>95199098</v>
      </c>
      <c r="Q33" s="547"/>
      <c r="R33" s="547"/>
      <c r="S33" s="547"/>
      <c r="T33" s="547"/>
      <c r="U33" s="547"/>
      <c r="V33" s="547"/>
      <c r="W33" s="547"/>
      <c r="X33" s="547"/>
      <c r="Y33" s="549"/>
      <c r="Z33" s="547"/>
      <c r="AA33" s="547"/>
      <c r="AB33" s="549"/>
      <c r="AC33" s="547"/>
      <c r="AD33" s="547"/>
      <c r="AE33" s="549"/>
    </row>
    <row r="34" spans="1:31" s="544" customFormat="1" ht="18.75" customHeight="1">
      <c r="A34" s="540" t="s">
        <v>45</v>
      </c>
      <c r="B34" s="541" t="s">
        <v>46</v>
      </c>
      <c r="C34" s="542"/>
      <c r="D34" s="542"/>
      <c r="E34" s="542"/>
      <c r="F34" s="542"/>
      <c r="G34" s="542">
        <f>'[6]Sheet1'!H32</f>
        <v>0</v>
      </c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3"/>
      <c r="Z34" s="542"/>
      <c r="AA34" s="542"/>
      <c r="AB34" s="543"/>
      <c r="AC34" s="542"/>
      <c r="AD34" s="542"/>
      <c r="AE34" s="543"/>
    </row>
    <row r="35" spans="1:31" s="535" customFormat="1" ht="18.75" customHeight="1">
      <c r="A35" s="536" t="s">
        <v>47</v>
      </c>
      <c r="B35" s="537" t="s">
        <v>48</v>
      </c>
      <c r="C35" s="538">
        <f aca="true" t="shared" si="8" ref="C35:AE35">SUM(C36:C42)</f>
        <v>5000000000</v>
      </c>
      <c r="D35" s="538">
        <f t="shared" si="8"/>
        <v>0</v>
      </c>
      <c r="E35" s="538">
        <f>SUM(E36:E42)</f>
        <v>5000000000</v>
      </c>
      <c r="F35" s="538">
        <f>SUM(F36:F42)</f>
        <v>0</v>
      </c>
      <c r="G35" s="538" t="e">
        <f>SUM(G36:G42)</f>
        <v>#REF!</v>
      </c>
      <c r="H35" s="538">
        <f t="shared" si="8"/>
        <v>0</v>
      </c>
      <c r="I35" s="538">
        <f t="shared" si="8"/>
        <v>0</v>
      </c>
      <c r="J35" s="538">
        <f t="shared" si="8"/>
        <v>0</v>
      </c>
      <c r="K35" s="538">
        <f t="shared" si="8"/>
        <v>0</v>
      </c>
      <c r="L35" s="538">
        <f t="shared" si="8"/>
        <v>0</v>
      </c>
      <c r="M35" s="538">
        <f t="shared" si="8"/>
        <v>0</v>
      </c>
      <c r="N35" s="538">
        <f t="shared" si="8"/>
        <v>0</v>
      </c>
      <c r="O35" s="538">
        <f t="shared" si="8"/>
        <v>0</v>
      </c>
      <c r="P35" s="538">
        <f t="shared" si="8"/>
        <v>474146425</v>
      </c>
      <c r="Q35" s="538">
        <f t="shared" si="8"/>
        <v>0</v>
      </c>
      <c r="R35" s="538">
        <f t="shared" si="8"/>
        <v>0</v>
      </c>
      <c r="S35" s="538">
        <f t="shared" si="8"/>
        <v>0</v>
      </c>
      <c r="T35" s="538">
        <f t="shared" si="8"/>
        <v>0</v>
      </c>
      <c r="U35" s="538">
        <f t="shared" si="8"/>
        <v>0</v>
      </c>
      <c r="V35" s="538">
        <f t="shared" si="8"/>
        <v>0</v>
      </c>
      <c r="W35" s="538">
        <f t="shared" si="8"/>
        <v>0</v>
      </c>
      <c r="X35" s="538">
        <f t="shared" si="8"/>
        <v>0</v>
      </c>
      <c r="Y35" s="539">
        <f t="shared" si="8"/>
        <v>0</v>
      </c>
      <c r="Z35" s="538">
        <f t="shared" si="8"/>
        <v>0</v>
      </c>
      <c r="AA35" s="538">
        <f t="shared" si="8"/>
        <v>0</v>
      </c>
      <c r="AB35" s="539">
        <f t="shared" si="8"/>
        <v>0</v>
      </c>
      <c r="AC35" s="538">
        <f t="shared" si="8"/>
        <v>0</v>
      </c>
      <c r="AD35" s="538">
        <f t="shared" si="8"/>
        <v>0</v>
      </c>
      <c r="AE35" s="539">
        <f t="shared" si="8"/>
        <v>0</v>
      </c>
    </row>
    <row r="36" spans="1:31" ht="18.75" customHeight="1">
      <c r="A36" s="545" t="s">
        <v>49</v>
      </c>
      <c r="B36" s="546" t="s">
        <v>24</v>
      </c>
      <c r="C36" s="547">
        <f aca="true" t="shared" si="9" ref="C36:D42">E36+H36+K36+N36+Q36+T36+W36+Z36+AC36</f>
        <v>1990000000</v>
      </c>
      <c r="D36" s="547">
        <f t="shared" si="9"/>
        <v>0</v>
      </c>
      <c r="E36" s="547">
        <v>1990000000</v>
      </c>
      <c r="F36" s="547"/>
      <c r="G36" s="547" t="e">
        <f>#REF!+#REF!</f>
        <v>#REF!</v>
      </c>
      <c r="H36" s="547"/>
      <c r="I36" s="547"/>
      <c r="J36" s="547"/>
      <c r="K36" s="547"/>
      <c r="L36" s="547"/>
      <c r="M36" s="547"/>
      <c r="N36" s="547"/>
      <c r="O36" s="547"/>
      <c r="P36" s="548"/>
      <c r="Q36" s="547"/>
      <c r="R36" s="547"/>
      <c r="S36" s="547"/>
      <c r="T36" s="547"/>
      <c r="U36" s="547"/>
      <c r="V36" s="547"/>
      <c r="W36" s="547"/>
      <c r="X36" s="547"/>
      <c r="Y36" s="549"/>
      <c r="Z36" s="547"/>
      <c r="AA36" s="547"/>
      <c r="AB36" s="549"/>
      <c r="AC36" s="547"/>
      <c r="AD36" s="547"/>
      <c r="AE36" s="549"/>
    </row>
    <row r="37" spans="1:31" ht="18.75" customHeight="1">
      <c r="A37" s="545" t="s">
        <v>50</v>
      </c>
      <c r="B37" s="546" t="s">
        <v>26</v>
      </c>
      <c r="C37" s="547">
        <f t="shared" si="9"/>
        <v>0</v>
      </c>
      <c r="D37" s="547">
        <f t="shared" si="9"/>
        <v>0</v>
      </c>
      <c r="F37" s="547"/>
      <c r="G37" s="547" t="e">
        <f>#REF!+#REF!</f>
        <v>#REF!</v>
      </c>
      <c r="I37" s="547"/>
      <c r="J37" s="547"/>
      <c r="K37" s="550"/>
      <c r="L37" s="547"/>
      <c r="M37" s="547"/>
      <c r="N37" s="550"/>
      <c r="O37" s="547"/>
      <c r="P37" s="548"/>
      <c r="Q37" s="550"/>
      <c r="R37" s="547"/>
      <c r="S37" s="547"/>
      <c r="T37" s="550"/>
      <c r="U37" s="547"/>
      <c r="V37" s="547"/>
      <c r="W37" s="550"/>
      <c r="X37" s="547"/>
      <c r="Y37" s="549"/>
      <c r="Z37" s="550"/>
      <c r="AA37" s="547"/>
      <c r="AB37" s="549"/>
      <c r="AC37" s="550"/>
      <c r="AD37" s="547"/>
      <c r="AE37" s="549"/>
    </row>
    <row r="38" spans="1:31" ht="18.75" customHeight="1">
      <c r="A38" s="545" t="s">
        <v>51</v>
      </c>
      <c r="B38" s="546" t="s">
        <v>28</v>
      </c>
      <c r="C38" s="547">
        <f t="shared" si="9"/>
        <v>3000000000</v>
      </c>
      <c r="D38" s="547">
        <f t="shared" si="9"/>
        <v>0</v>
      </c>
      <c r="E38" s="547">
        <v>3000000000</v>
      </c>
      <c r="F38" s="547"/>
      <c r="G38" s="547" t="e">
        <f>#REF!+#REF!</f>
        <v>#REF!</v>
      </c>
      <c r="H38" s="547"/>
      <c r="I38" s="547"/>
      <c r="J38" s="547"/>
      <c r="K38" s="547"/>
      <c r="L38" s="547"/>
      <c r="M38" s="547"/>
      <c r="N38" s="547"/>
      <c r="O38" s="547"/>
      <c r="P38" s="548">
        <v>467146425</v>
      </c>
      <c r="Q38" s="547"/>
      <c r="R38" s="547"/>
      <c r="S38" s="547"/>
      <c r="T38" s="547"/>
      <c r="U38" s="547"/>
      <c r="V38" s="547"/>
      <c r="W38" s="547"/>
      <c r="X38" s="547"/>
      <c r="Y38" s="549"/>
      <c r="Z38" s="547"/>
      <c r="AA38" s="547"/>
      <c r="AB38" s="549"/>
      <c r="AC38" s="547"/>
      <c r="AD38" s="547"/>
      <c r="AE38" s="549"/>
    </row>
    <row r="39" spans="1:31" ht="18.75" customHeight="1">
      <c r="A39" s="545" t="s">
        <v>52</v>
      </c>
      <c r="B39" s="546" t="s">
        <v>32</v>
      </c>
      <c r="C39" s="547">
        <f t="shared" si="9"/>
        <v>0</v>
      </c>
      <c r="D39" s="547">
        <f t="shared" si="9"/>
        <v>0</v>
      </c>
      <c r="E39" s="547"/>
      <c r="F39" s="547"/>
      <c r="G39" s="547" t="e">
        <f>#REF!+#REF!</f>
        <v>#REF!</v>
      </c>
      <c r="H39" s="547"/>
      <c r="I39" s="547"/>
      <c r="J39" s="547"/>
      <c r="K39" s="547"/>
      <c r="L39" s="547"/>
      <c r="M39" s="547"/>
      <c r="N39" s="547"/>
      <c r="O39" s="547"/>
      <c r="P39" s="548"/>
      <c r="Q39" s="547"/>
      <c r="R39" s="547"/>
      <c r="S39" s="547"/>
      <c r="T39" s="547"/>
      <c r="U39" s="547"/>
      <c r="V39" s="547"/>
      <c r="W39" s="547"/>
      <c r="X39" s="547"/>
      <c r="Y39" s="549"/>
      <c r="Z39" s="547"/>
      <c r="AA39" s="547"/>
      <c r="AB39" s="549"/>
      <c r="AC39" s="547"/>
      <c r="AD39" s="547"/>
      <c r="AE39" s="549"/>
    </row>
    <row r="40" spans="1:31" ht="18.75" customHeight="1">
      <c r="A40" s="545" t="s">
        <v>53</v>
      </c>
      <c r="B40" s="546" t="s">
        <v>34</v>
      </c>
      <c r="C40" s="547">
        <f t="shared" si="9"/>
        <v>10000000</v>
      </c>
      <c r="D40" s="547">
        <f t="shared" si="9"/>
        <v>0</v>
      </c>
      <c r="E40" s="547">
        <v>10000000</v>
      </c>
      <c r="F40" s="547"/>
      <c r="G40" s="547" t="e">
        <f>#REF!+#REF!</f>
        <v>#REF!</v>
      </c>
      <c r="H40" s="547"/>
      <c r="I40" s="547"/>
      <c r="J40" s="547"/>
      <c r="K40" s="547"/>
      <c r="L40" s="547"/>
      <c r="M40" s="547"/>
      <c r="N40" s="547"/>
      <c r="O40" s="547"/>
      <c r="P40" s="548">
        <v>7000000</v>
      </c>
      <c r="Q40" s="547"/>
      <c r="R40" s="547"/>
      <c r="S40" s="547"/>
      <c r="T40" s="547"/>
      <c r="U40" s="547"/>
      <c r="V40" s="547"/>
      <c r="W40" s="547"/>
      <c r="X40" s="547"/>
      <c r="Y40" s="549"/>
      <c r="Z40" s="547"/>
      <c r="AA40" s="547"/>
      <c r="AB40" s="549"/>
      <c r="AC40" s="547"/>
      <c r="AD40" s="547"/>
      <c r="AE40" s="549"/>
    </row>
    <row r="41" spans="1:31" ht="18.75" customHeight="1">
      <c r="A41" s="545" t="s">
        <v>54</v>
      </c>
      <c r="B41" s="546" t="s">
        <v>55</v>
      </c>
      <c r="C41" s="547">
        <f t="shared" si="9"/>
        <v>0</v>
      </c>
      <c r="D41" s="547">
        <f t="shared" si="9"/>
        <v>0</v>
      </c>
      <c r="E41" s="547"/>
      <c r="F41" s="547"/>
      <c r="G41" s="547" t="e">
        <f>#REF!+#REF!</f>
        <v>#REF!</v>
      </c>
      <c r="H41" s="547"/>
      <c r="I41" s="547"/>
      <c r="J41" s="547"/>
      <c r="K41" s="547"/>
      <c r="L41" s="547"/>
      <c r="M41" s="547"/>
      <c r="N41" s="547"/>
      <c r="O41" s="547"/>
      <c r="P41" s="548"/>
      <c r="Q41" s="547"/>
      <c r="R41" s="547"/>
      <c r="S41" s="547"/>
      <c r="T41" s="547"/>
      <c r="U41" s="547"/>
      <c r="V41" s="547"/>
      <c r="W41" s="547"/>
      <c r="X41" s="547"/>
      <c r="Y41" s="549"/>
      <c r="Z41" s="547"/>
      <c r="AA41" s="547"/>
      <c r="AB41" s="549"/>
      <c r="AC41" s="547"/>
      <c r="AD41" s="547"/>
      <c r="AE41" s="549"/>
    </row>
    <row r="42" spans="1:31" ht="18.75" customHeight="1">
      <c r="A42" s="545" t="s">
        <v>56</v>
      </c>
      <c r="B42" s="546" t="s">
        <v>36</v>
      </c>
      <c r="C42" s="547">
        <f t="shared" si="9"/>
        <v>0</v>
      </c>
      <c r="D42" s="547">
        <f t="shared" si="9"/>
        <v>0</v>
      </c>
      <c r="E42" s="547"/>
      <c r="F42" s="547"/>
      <c r="G42" s="547" t="e">
        <f>#REF!+#REF!</f>
        <v>#REF!</v>
      </c>
      <c r="H42" s="547"/>
      <c r="I42" s="547"/>
      <c r="J42" s="547"/>
      <c r="K42" s="547"/>
      <c r="L42" s="547"/>
      <c r="M42" s="547"/>
      <c r="N42" s="547"/>
      <c r="O42" s="547"/>
      <c r="P42" s="548"/>
      <c r="Q42" s="547"/>
      <c r="R42" s="547"/>
      <c r="S42" s="547"/>
      <c r="T42" s="547"/>
      <c r="U42" s="547"/>
      <c r="V42" s="547"/>
      <c r="W42" s="547"/>
      <c r="X42" s="547"/>
      <c r="Y42" s="549"/>
      <c r="Z42" s="547"/>
      <c r="AA42" s="547"/>
      <c r="AB42" s="549"/>
      <c r="AC42" s="547"/>
      <c r="AD42" s="547"/>
      <c r="AE42" s="549"/>
    </row>
    <row r="43" spans="1:31" s="535" customFormat="1" ht="18.75" customHeight="1">
      <c r="A43" s="536" t="s">
        <v>57</v>
      </c>
      <c r="B43" s="537" t="s">
        <v>58</v>
      </c>
      <c r="C43" s="538">
        <f aca="true" t="shared" si="10" ref="C43:AD43">C44+C51</f>
        <v>418500000000</v>
      </c>
      <c r="D43" s="538">
        <f t="shared" si="10"/>
        <v>0</v>
      </c>
      <c r="E43" s="538">
        <f>E44+E51</f>
        <v>331500000000</v>
      </c>
      <c r="F43" s="538">
        <f>F44+F51</f>
        <v>0</v>
      </c>
      <c r="G43" s="538" t="e">
        <f>G44+G51</f>
        <v>#REF!</v>
      </c>
      <c r="H43" s="538">
        <f t="shared" si="10"/>
        <v>0</v>
      </c>
      <c r="I43" s="538">
        <f t="shared" si="10"/>
        <v>0</v>
      </c>
      <c r="J43" s="538">
        <f t="shared" si="10"/>
        <v>8593203841</v>
      </c>
      <c r="K43" s="538">
        <f t="shared" si="10"/>
        <v>19500000000</v>
      </c>
      <c r="L43" s="538">
        <f t="shared" si="10"/>
        <v>0</v>
      </c>
      <c r="M43" s="538">
        <f t="shared" si="10"/>
        <v>20337629465</v>
      </c>
      <c r="N43" s="538">
        <f t="shared" si="10"/>
        <v>0</v>
      </c>
      <c r="O43" s="538">
        <f t="shared" si="10"/>
        <v>0</v>
      </c>
      <c r="P43" s="538">
        <f t="shared" si="10"/>
        <v>232116062687</v>
      </c>
      <c r="Q43" s="538">
        <f t="shared" si="10"/>
        <v>0</v>
      </c>
      <c r="R43" s="538">
        <f t="shared" si="10"/>
        <v>0</v>
      </c>
      <c r="S43" s="538">
        <f t="shared" si="10"/>
        <v>0</v>
      </c>
      <c r="T43" s="538">
        <f t="shared" si="10"/>
        <v>32500000000</v>
      </c>
      <c r="U43" s="538">
        <f t="shared" si="10"/>
        <v>0</v>
      </c>
      <c r="V43" s="538">
        <f t="shared" si="10"/>
        <v>0</v>
      </c>
      <c r="W43" s="538">
        <f t="shared" si="10"/>
        <v>0</v>
      </c>
      <c r="X43" s="538">
        <f t="shared" si="10"/>
        <v>0</v>
      </c>
      <c r="Y43" s="538">
        <f t="shared" si="10"/>
        <v>0</v>
      </c>
      <c r="Z43" s="538">
        <f t="shared" si="10"/>
        <v>10000000000</v>
      </c>
      <c r="AA43" s="538">
        <f t="shared" si="10"/>
        <v>0</v>
      </c>
      <c r="AB43" s="538">
        <f t="shared" si="10"/>
        <v>0</v>
      </c>
      <c r="AC43" s="538">
        <f t="shared" si="10"/>
        <v>25000000000</v>
      </c>
      <c r="AD43" s="538">
        <f t="shared" si="10"/>
        <v>0</v>
      </c>
      <c r="AE43" s="539">
        <f>AE44+AE51</f>
        <v>46307520188</v>
      </c>
    </row>
    <row r="44" spans="1:31" s="544" customFormat="1" ht="18.75" customHeight="1">
      <c r="A44" s="540" t="s">
        <v>59</v>
      </c>
      <c r="B44" s="541" t="s">
        <v>60</v>
      </c>
      <c r="C44" s="542">
        <f aca="true" t="shared" si="11" ref="C44:AE44">SUM(C45:C50)</f>
        <v>411144100000</v>
      </c>
      <c r="D44" s="542">
        <f t="shared" si="11"/>
        <v>0</v>
      </c>
      <c r="E44" s="542">
        <f>SUM(E45:E50)</f>
        <v>331500000000</v>
      </c>
      <c r="F44" s="542">
        <f>SUM(F45:F50)</f>
        <v>0</v>
      </c>
      <c r="G44" s="542" t="e">
        <f>SUM(G45:G50)</f>
        <v>#REF!</v>
      </c>
      <c r="H44" s="542">
        <f t="shared" si="11"/>
        <v>0</v>
      </c>
      <c r="I44" s="542">
        <f t="shared" si="11"/>
        <v>0</v>
      </c>
      <c r="J44" s="542">
        <f t="shared" si="11"/>
        <v>8593203841</v>
      </c>
      <c r="K44" s="542">
        <f t="shared" si="11"/>
        <v>19500000000</v>
      </c>
      <c r="L44" s="542">
        <f t="shared" si="11"/>
        <v>0</v>
      </c>
      <c r="M44" s="542">
        <f t="shared" si="11"/>
        <v>20337629465</v>
      </c>
      <c r="N44" s="542">
        <f t="shared" si="11"/>
        <v>0</v>
      </c>
      <c r="O44" s="542">
        <f t="shared" si="11"/>
        <v>0</v>
      </c>
      <c r="P44" s="542">
        <f t="shared" si="11"/>
        <v>232116062687</v>
      </c>
      <c r="Q44" s="542">
        <f t="shared" si="11"/>
        <v>0</v>
      </c>
      <c r="R44" s="542">
        <f t="shared" si="11"/>
        <v>0</v>
      </c>
      <c r="S44" s="542">
        <f t="shared" si="11"/>
        <v>0</v>
      </c>
      <c r="T44" s="542">
        <f t="shared" si="11"/>
        <v>28747000000</v>
      </c>
      <c r="U44" s="542">
        <f t="shared" si="11"/>
        <v>0</v>
      </c>
      <c r="V44" s="542">
        <f t="shared" si="11"/>
        <v>0</v>
      </c>
      <c r="W44" s="542">
        <f t="shared" si="11"/>
        <v>0</v>
      </c>
      <c r="X44" s="542">
        <f t="shared" si="11"/>
        <v>0</v>
      </c>
      <c r="Y44" s="543">
        <f t="shared" si="11"/>
        <v>0</v>
      </c>
      <c r="Z44" s="542">
        <f t="shared" si="11"/>
        <v>8317100000</v>
      </c>
      <c r="AA44" s="542">
        <f t="shared" si="11"/>
        <v>0</v>
      </c>
      <c r="AB44" s="543">
        <f t="shared" si="11"/>
        <v>0</v>
      </c>
      <c r="AC44" s="542">
        <f t="shared" si="11"/>
        <v>23080000000</v>
      </c>
      <c r="AD44" s="542">
        <f t="shared" si="11"/>
        <v>0</v>
      </c>
      <c r="AE44" s="543">
        <f t="shared" si="11"/>
        <v>37683010516</v>
      </c>
    </row>
    <row r="45" spans="1:31" ht="18.75" customHeight="1">
      <c r="A45" s="545" t="s">
        <v>61</v>
      </c>
      <c r="B45" s="546" t="s">
        <v>24</v>
      </c>
      <c r="C45" s="547">
        <f aca="true" t="shared" si="12" ref="C45:D50">E45+H45+K45+N45+Q45+T45+W45+Z45+AC45</f>
        <v>361316400000</v>
      </c>
      <c r="D45" s="547">
        <f t="shared" si="12"/>
        <v>0</v>
      </c>
      <c r="E45" s="551">
        <v>289472000000</v>
      </c>
      <c r="F45" s="547"/>
      <c r="G45" s="547" t="e">
        <f>#REF!+#REF!</f>
        <v>#REF!</v>
      </c>
      <c r="H45" s="551"/>
      <c r="I45" s="547"/>
      <c r="J45" s="547">
        <v>6782913596</v>
      </c>
      <c r="K45" s="547">
        <v>14547300000</v>
      </c>
      <c r="L45" s="547"/>
      <c r="M45" s="547">
        <v>17678387838</v>
      </c>
      <c r="N45" s="551"/>
      <c r="O45" s="547"/>
      <c r="P45" s="548">
        <v>195931416142</v>
      </c>
      <c r="Q45" s="551"/>
      <c r="R45" s="547"/>
      <c r="S45" s="547"/>
      <c r="T45" s="547">
        <v>28747000000</v>
      </c>
      <c r="U45" s="547"/>
      <c r="V45" s="547"/>
      <c r="W45" s="551"/>
      <c r="X45" s="547"/>
      <c r="Y45" s="549"/>
      <c r="Z45" s="551">
        <v>6800100000</v>
      </c>
      <c r="AA45" s="547"/>
      <c r="AB45" s="549"/>
      <c r="AC45" s="551">
        <v>21750000000</v>
      </c>
      <c r="AD45" s="547"/>
      <c r="AE45" s="549">
        <v>18841505258</v>
      </c>
    </row>
    <row r="46" spans="1:31" ht="18.75" customHeight="1">
      <c r="A46" s="545" t="s">
        <v>62</v>
      </c>
      <c r="B46" s="546" t="s">
        <v>26</v>
      </c>
      <c r="C46" s="547">
        <f t="shared" si="12"/>
        <v>335000000</v>
      </c>
      <c r="D46" s="547">
        <f t="shared" si="12"/>
        <v>0</v>
      </c>
      <c r="E46" s="551">
        <v>300000000</v>
      </c>
      <c r="F46" s="547"/>
      <c r="G46" s="547" t="e">
        <f>#REF!+#REF!</f>
        <v>#REF!</v>
      </c>
      <c r="H46" s="551"/>
      <c r="I46" s="547"/>
      <c r="J46" s="547">
        <v>1980000</v>
      </c>
      <c r="K46" s="547"/>
      <c r="L46" s="547"/>
      <c r="M46" s="547"/>
      <c r="N46" s="551"/>
      <c r="O46" s="547"/>
      <c r="P46" s="548">
        <v>452113852</v>
      </c>
      <c r="Q46" s="551"/>
      <c r="R46" s="547"/>
      <c r="S46" s="547"/>
      <c r="T46" s="547"/>
      <c r="U46" s="547"/>
      <c r="V46" s="547"/>
      <c r="W46" s="551"/>
      <c r="X46" s="547"/>
      <c r="Y46" s="549"/>
      <c r="Z46" s="551">
        <v>5000000</v>
      </c>
      <c r="AA46" s="547"/>
      <c r="AB46" s="549"/>
      <c r="AC46" s="551">
        <v>30000000</v>
      </c>
      <c r="AD46" s="547"/>
      <c r="AE46" s="549">
        <v>16765726769</v>
      </c>
    </row>
    <row r="47" spans="1:31" ht="18.75" customHeight="1">
      <c r="A47" s="545" t="s">
        <v>63</v>
      </c>
      <c r="B47" s="546" t="s">
        <v>28</v>
      </c>
      <c r="C47" s="547">
        <f t="shared" si="12"/>
        <v>25670000000</v>
      </c>
      <c r="D47" s="547">
        <f t="shared" si="12"/>
        <v>0</v>
      </c>
      <c r="E47" s="551">
        <v>23600000000</v>
      </c>
      <c r="F47" s="547"/>
      <c r="G47" s="547" t="e">
        <f>#REF!+#REF!</f>
        <v>#REF!</v>
      </c>
      <c r="H47" s="551"/>
      <c r="I47" s="547"/>
      <c r="J47" s="547">
        <v>536740573</v>
      </c>
      <c r="K47" s="547">
        <v>600000000</v>
      </c>
      <c r="L47" s="547"/>
      <c r="M47" s="547">
        <v>893666423</v>
      </c>
      <c r="N47" s="551"/>
      <c r="O47" s="547"/>
      <c r="P47" s="548">
        <v>18207433657</v>
      </c>
      <c r="Q47" s="551"/>
      <c r="R47" s="547"/>
      <c r="S47" s="547"/>
      <c r="T47" s="547"/>
      <c r="U47" s="547"/>
      <c r="V47" s="547"/>
      <c r="W47" s="551"/>
      <c r="X47" s="547"/>
      <c r="Y47" s="549"/>
      <c r="Z47" s="551">
        <v>470000000</v>
      </c>
      <c r="AA47" s="547"/>
      <c r="AB47" s="549"/>
      <c r="AC47" s="551">
        <v>1000000000</v>
      </c>
      <c r="AD47" s="547"/>
      <c r="AE47" s="549"/>
    </row>
    <row r="48" spans="1:31" ht="18.75" customHeight="1">
      <c r="A48" s="545" t="s">
        <v>64</v>
      </c>
      <c r="B48" s="546" t="s">
        <v>32</v>
      </c>
      <c r="C48" s="547">
        <f t="shared" si="12"/>
        <v>21632000000</v>
      </c>
      <c r="D48" s="547">
        <f t="shared" si="12"/>
        <v>0</v>
      </c>
      <c r="E48" s="551">
        <v>17300000000</v>
      </c>
      <c r="F48" s="547"/>
      <c r="G48" s="547" t="e">
        <f>#REF!+#REF!</f>
        <v>#REF!</v>
      </c>
      <c r="H48" s="551"/>
      <c r="I48" s="547"/>
      <c r="J48" s="547">
        <v>865123346</v>
      </c>
      <c r="K48" s="547">
        <v>3382000000</v>
      </c>
      <c r="L48" s="547"/>
      <c r="M48" s="547">
        <v>956940521</v>
      </c>
      <c r="N48" s="551"/>
      <c r="O48" s="547"/>
      <c r="P48" s="548">
        <v>5181539191</v>
      </c>
      <c r="Q48" s="551"/>
      <c r="R48" s="547"/>
      <c r="S48" s="547"/>
      <c r="T48" s="547"/>
      <c r="U48" s="547"/>
      <c r="V48" s="547"/>
      <c r="W48" s="551"/>
      <c r="X48" s="547"/>
      <c r="Y48" s="549"/>
      <c r="Z48" s="551">
        <v>650000000</v>
      </c>
      <c r="AA48" s="547"/>
      <c r="AB48" s="549"/>
      <c r="AC48" s="551">
        <v>300000000</v>
      </c>
      <c r="AD48" s="547"/>
      <c r="AE48" s="549">
        <v>1179205940</v>
      </c>
    </row>
    <row r="49" spans="1:31" ht="18.75" customHeight="1">
      <c r="A49" s="545" t="s">
        <v>65</v>
      </c>
      <c r="B49" s="546" t="s">
        <v>34</v>
      </c>
      <c r="C49" s="547">
        <f t="shared" si="12"/>
        <v>1490700000</v>
      </c>
      <c r="D49" s="547">
        <f t="shared" si="12"/>
        <v>0</v>
      </c>
      <c r="E49" s="551">
        <v>828000000</v>
      </c>
      <c r="F49" s="547"/>
      <c r="G49" s="547" t="e">
        <f>#REF!+#REF!</f>
        <v>#REF!</v>
      </c>
      <c r="H49" s="551"/>
      <c r="I49" s="547"/>
      <c r="J49" s="547">
        <v>160250000</v>
      </c>
      <c r="K49" s="547">
        <v>470700000</v>
      </c>
      <c r="L49" s="547"/>
      <c r="M49" s="547">
        <v>440750000</v>
      </c>
      <c r="N49" s="551"/>
      <c r="O49" s="547"/>
      <c r="P49" s="548">
        <v>3869247489</v>
      </c>
      <c r="Q49" s="551"/>
      <c r="R49" s="547"/>
      <c r="S49" s="547"/>
      <c r="T49" s="547"/>
      <c r="U49" s="547"/>
      <c r="V49" s="547"/>
      <c r="W49" s="551"/>
      <c r="X49" s="547"/>
      <c r="Y49" s="549"/>
      <c r="Z49" s="551">
        <v>192000000</v>
      </c>
      <c r="AA49" s="547"/>
      <c r="AB49" s="549"/>
      <c r="AC49" s="551"/>
      <c r="AD49" s="547"/>
      <c r="AE49" s="549">
        <v>833322549</v>
      </c>
    </row>
    <row r="50" spans="1:31" ht="18.75" customHeight="1">
      <c r="A50" s="545" t="s">
        <v>66</v>
      </c>
      <c r="B50" s="546" t="s">
        <v>36</v>
      </c>
      <c r="C50" s="547">
        <f t="shared" si="12"/>
        <v>700000000</v>
      </c>
      <c r="D50" s="547">
        <f t="shared" si="12"/>
        <v>0</v>
      </c>
      <c r="E50" s="551"/>
      <c r="F50" s="547"/>
      <c r="G50" s="547" t="e">
        <f>#REF!+#REF!</f>
        <v>#REF!</v>
      </c>
      <c r="H50" s="551"/>
      <c r="I50" s="547"/>
      <c r="J50" s="547">
        <v>246196326</v>
      </c>
      <c r="K50" s="547">
        <v>500000000</v>
      </c>
      <c r="L50" s="547"/>
      <c r="M50" s="547">
        <v>367884683</v>
      </c>
      <c r="N50" s="551"/>
      <c r="O50" s="547"/>
      <c r="P50" s="548">
        <v>8474312356</v>
      </c>
      <c r="Q50" s="551"/>
      <c r="R50" s="547"/>
      <c r="S50" s="547"/>
      <c r="T50" s="547"/>
      <c r="U50" s="547"/>
      <c r="V50" s="547"/>
      <c r="W50" s="551"/>
      <c r="X50" s="547"/>
      <c r="Y50" s="549"/>
      <c r="Z50" s="551">
        <v>200000000</v>
      </c>
      <c r="AA50" s="547"/>
      <c r="AB50" s="549"/>
      <c r="AC50" s="551"/>
      <c r="AD50" s="547"/>
      <c r="AE50" s="549">
        <v>63250000</v>
      </c>
    </row>
    <row r="51" spans="1:31" s="544" customFormat="1" ht="18.75" customHeight="1">
      <c r="A51" s="540" t="s">
        <v>67</v>
      </c>
      <c r="B51" s="541" t="s">
        <v>68</v>
      </c>
      <c r="C51" s="542">
        <f aca="true" t="shared" si="13" ref="C51:AE51">SUM(C52:C57)</f>
        <v>7355900000</v>
      </c>
      <c r="D51" s="542">
        <f t="shared" si="13"/>
        <v>0</v>
      </c>
      <c r="E51" s="542">
        <f>SUM(E52:E57)</f>
        <v>0</v>
      </c>
      <c r="F51" s="542">
        <f>SUM(F52:F57)</f>
        <v>0</v>
      </c>
      <c r="G51" s="542" t="e">
        <f>SUM(G52:G57)</f>
        <v>#REF!</v>
      </c>
      <c r="H51" s="542">
        <f t="shared" si="13"/>
        <v>0</v>
      </c>
      <c r="I51" s="542">
        <f t="shared" si="13"/>
        <v>0</v>
      </c>
      <c r="J51" s="542">
        <f t="shared" si="13"/>
        <v>0</v>
      </c>
      <c r="K51" s="542">
        <f t="shared" si="13"/>
        <v>0</v>
      </c>
      <c r="L51" s="542">
        <f t="shared" si="13"/>
        <v>0</v>
      </c>
      <c r="M51" s="542">
        <f t="shared" si="13"/>
        <v>0</v>
      </c>
      <c r="N51" s="542">
        <f t="shared" si="13"/>
        <v>0</v>
      </c>
      <c r="O51" s="542">
        <f t="shared" si="13"/>
        <v>0</v>
      </c>
      <c r="P51" s="542">
        <f t="shared" si="13"/>
        <v>0</v>
      </c>
      <c r="Q51" s="542">
        <f t="shared" si="13"/>
        <v>0</v>
      </c>
      <c r="R51" s="542">
        <f t="shared" si="13"/>
        <v>0</v>
      </c>
      <c r="S51" s="542">
        <f t="shared" si="13"/>
        <v>0</v>
      </c>
      <c r="T51" s="542">
        <f t="shared" si="13"/>
        <v>3753000000</v>
      </c>
      <c r="U51" s="542">
        <f t="shared" si="13"/>
        <v>0</v>
      </c>
      <c r="V51" s="542">
        <f t="shared" si="13"/>
        <v>0</v>
      </c>
      <c r="W51" s="542">
        <f t="shared" si="13"/>
        <v>0</v>
      </c>
      <c r="X51" s="542">
        <f t="shared" si="13"/>
        <v>0</v>
      </c>
      <c r="Y51" s="543">
        <f t="shared" si="13"/>
        <v>0</v>
      </c>
      <c r="Z51" s="542">
        <f t="shared" si="13"/>
        <v>1682900000</v>
      </c>
      <c r="AA51" s="542">
        <f t="shared" si="13"/>
        <v>0</v>
      </c>
      <c r="AB51" s="543">
        <f t="shared" si="13"/>
        <v>0</v>
      </c>
      <c r="AC51" s="542">
        <f t="shared" si="13"/>
        <v>1920000000</v>
      </c>
      <c r="AD51" s="542">
        <f t="shared" si="13"/>
        <v>0</v>
      </c>
      <c r="AE51" s="543">
        <f t="shared" si="13"/>
        <v>8624509672</v>
      </c>
    </row>
    <row r="52" spans="1:31" ht="18.75" customHeight="1">
      <c r="A52" s="545" t="s">
        <v>69</v>
      </c>
      <c r="B52" s="546" t="s">
        <v>24</v>
      </c>
      <c r="C52" s="547">
        <f aca="true" t="shared" si="14" ref="C52:D63">E52+H52+K52+N52+Q52+T52+W52+Z52+AC52</f>
        <v>1252900000</v>
      </c>
      <c r="D52" s="547">
        <f t="shared" si="14"/>
        <v>0</v>
      </c>
      <c r="E52" s="547"/>
      <c r="F52" s="547"/>
      <c r="G52" s="547" t="e">
        <f>#REF!+#REF!</f>
        <v>#REF!</v>
      </c>
      <c r="H52" s="547"/>
      <c r="I52" s="547"/>
      <c r="J52" s="547"/>
      <c r="K52" s="547"/>
      <c r="L52" s="547"/>
      <c r="M52" s="547"/>
      <c r="N52" s="547"/>
      <c r="O52" s="547"/>
      <c r="P52" s="548"/>
      <c r="Q52" s="547"/>
      <c r="R52" s="547"/>
      <c r="S52" s="547"/>
      <c r="T52" s="547"/>
      <c r="U52" s="547"/>
      <c r="V52" s="547"/>
      <c r="W52" s="547"/>
      <c r="X52" s="547"/>
      <c r="Y52" s="549"/>
      <c r="Z52" s="547">
        <v>1252900000</v>
      </c>
      <c r="AA52" s="547"/>
      <c r="AB52" s="549"/>
      <c r="AC52" s="547"/>
      <c r="AD52" s="547"/>
      <c r="AE52" s="549">
        <v>4312254836</v>
      </c>
    </row>
    <row r="53" spans="1:31" ht="18.75" customHeight="1">
      <c r="A53" s="545" t="s">
        <v>70</v>
      </c>
      <c r="B53" s="546" t="s">
        <v>26</v>
      </c>
      <c r="C53" s="547">
        <f t="shared" si="14"/>
        <v>0</v>
      </c>
      <c r="D53" s="547">
        <f t="shared" si="14"/>
        <v>0</v>
      </c>
      <c r="E53" s="547"/>
      <c r="F53" s="547"/>
      <c r="G53" s="547" t="e">
        <f>#REF!+#REF!</f>
        <v>#REF!</v>
      </c>
      <c r="H53" s="547"/>
      <c r="I53" s="547"/>
      <c r="J53" s="547"/>
      <c r="K53" s="547"/>
      <c r="L53" s="547"/>
      <c r="M53" s="547"/>
      <c r="N53" s="547"/>
      <c r="O53" s="547"/>
      <c r="P53" s="548"/>
      <c r="Q53" s="547"/>
      <c r="R53" s="547"/>
      <c r="S53" s="547"/>
      <c r="T53" s="547"/>
      <c r="U53" s="547"/>
      <c r="V53" s="547"/>
      <c r="W53" s="547"/>
      <c r="X53" s="547"/>
      <c r="Y53" s="549"/>
      <c r="Z53" s="547"/>
      <c r="AA53" s="547"/>
      <c r="AB53" s="549"/>
      <c r="AC53" s="547"/>
      <c r="AD53" s="547"/>
      <c r="AE53" s="549">
        <v>3475864836</v>
      </c>
    </row>
    <row r="54" spans="1:31" ht="18.75" customHeight="1">
      <c r="A54" s="545" t="s">
        <v>71</v>
      </c>
      <c r="B54" s="546" t="s">
        <v>28</v>
      </c>
      <c r="C54" s="547">
        <f t="shared" si="14"/>
        <v>1050000000</v>
      </c>
      <c r="D54" s="547">
        <f t="shared" si="14"/>
        <v>0</v>
      </c>
      <c r="E54" s="547"/>
      <c r="F54" s="547"/>
      <c r="G54" s="547" t="e">
        <f>#REF!+#REF!</f>
        <v>#REF!</v>
      </c>
      <c r="H54" s="547"/>
      <c r="I54" s="547"/>
      <c r="J54" s="547"/>
      <c r="K54" s="547"/>
      <c r="L54" s="547"/>
      <c r="M54" s="547"/>
      <c r="N54" s="547"/>
      <c r="O54" s="547"/>
      <c r="P54" s="548"/>
      <c r="Q54" s="547"/>
      <c r="R54" s="547"/>
      <c r="S54" s="547"/>
      <c r="T54" s="547">
        <v>1050000000</v>
      </c>
      <c r="U54" s="547"/>
      <c r="V54" s="547"/>
      <c r="W54" s="547"/>
      <c r="X54" s="547"/>
      <c r="Y54" s="549"/>
      <c r="Z54" s="547"/>
      <c r="AA54" s="547"/>
      <c r="AB54" s="549"/>
      <c r="AC54" s="547"/>
      <c r="AD54" s="547"/>
      <c r="AE54" s="549"/>
    </row>
    <row r="55" spans="1:31" ht="18.75" customHeight="1">
      <c r="A55" s="545" t="s">
        <v>72</v>
      </c>
      <c r="B55" s="546" t="s">
        <v>32</v>
      </c>
      <c r="C55" s="547">
        <f t="shared" si="14"/>
        <v>605000000</v>
      </c>
      <c r="D55" s="547">
        <f t="shared" si="14"/>
        <v>0</v>
      </c>
      <c r="E55" s="547"/>
      <c r="F55" s="547"/>
      <c r="G55" s="547" t="e">
        <f>#REF!+#REF!</f>
        <v>#REF!</v>
      </c>
      <c r="H55" s="547"/>
      <c r="I55" s="547"/>
      <c r="J55" s="547"/>
      <c r="K55" s="547"/>
      <c r="L55" s="547"/>
      <c r="M55" s="547"/>
      <c r="N55" s="547"/>
      <c r="O55" s="547"/>
      <c r="P55" s="548"/>
      <c r="Q55" s="547"/>
      <c r="R55" s="547"/>
      <c r="S55" s="547"/>
      <c r="T55" s="547">
        <v>505000000</v>
      </c>
      <c r="U55" s="547"/>
      <c r="V55" s="547"/>
      <c r="W55" s="547"/>
      <c r="X55" s="547"/>
      <c r="Y55" s="549"/>
      <c r="Z55" s="547">
        <v>100000000</v>
      </c>
      <c r="AA55" s="547"/>
      <c r="AB55" s="549"/>
      <c r="AC55" s="547"/>
      <c r="AD55" s="547"/>
      <c r="AE55" s="549"/>
    </row>
    <row r="56" spans="1:31" ht="18.75" customHeight="1">
      <c r="A56" s="545" t="s">
        <v>73</v>
      </c>
      <c r="B56" s="546" t="s">
        <v>34</v>
      </c>
      <c r="C56" s="547">
        <f t="shared" si="14"/>
        <v>3963000000</v>
      </c>
      <c r="D56" s="547">
        <f t="shared" si="14"/>
        <v>0</v>
      </c>
      <c r="E56" s="547"/>
      <c r="F56" s="547"/>
      <c r="G56" s="547" t="e">
        <f>#REF!+#REF!</f>
        <v>#REF!</v>
      </c>
      <c r="H56" s="547"/>
      <c r="I56" s="547"/>
      <c r="J56" s="547"/>
      <c r="K56" s="547"/>
      <c r="L56" s="547"/>
      <c r="M56" s="547"/>
      <c r="N56" s="547"/>
      <c r="O56" s="547"/>
      <c r="P56" s="548"/>
      <c r="Q56" s="547"/>
      <c r="R56" s="547"/>
      <c r="S56" s="547"/>
      <c r="T56" s="547">
        <v>2198000000</v>
      </c>
      <c r="U56" s="547"/>
      <c r="V56" s="547"/>
      <c r="W56" s="547"/>
      <c r="X56" s="547"/>
      <c r="Y56" s="549"/>
      <c r="Z56" s="547">
        <v>330000000</v>
      </c>
      <c r="AA56" s="547"/>
      <c r="AB56" s="549"/>
      <c r="AC56" s="547">
        <v>1435000000</v>
      </c>
      <c r="AD56" s="547"/>
      <c r="AE56" s="549"/>
    </row>
    <row r="57" spans="1:31" ht="18.75" customHeight="1">
      <c r="A57" s="545" t="s">
        <v>74</v>
      </c>
      <c r="B57" s="546" t="s">
        <v>36</v>
      </c>
      <c r="C57" s="547">
        <f t="shared" si="14"/>
        <v>485000000</v>
      </c>
      <c r="D57" s="547">
        <f t="shared" si="14"/>
        <v>0</v>
      </c>
      <c r="E57" s="547"/>
      <c r="F57" s="547"/>
      <c r="G57" s="547" t="e">
        <f>#REF!+#REF!</f>
        <v>#REF!</v>
      </c>
      <c r="H57" s="547"/>
      <c r="I57" s="547"/>
      <c r="J57" s="547"/>
      <c r="K57" s="547"/>
      <c r="L57" s="547"/>
      <c r="M57" s="547"/>
      <c r="N57" s="547"/>
      <c r="O57" s="547"/>
      <c r="P57" s="548"/>
      <c r="Q57" s="547"/>
      <c r="R57" s="547"/>
      <c r="S57" s="547"/>
      <c r="T57" s="547"/>
      <c r="U57" s="547"/>
      <c r="V57" s="547"/>
      <c r="W57" s="547"/>
      <c r="X57" s="547"/>
      <c r="Y57" s="549"/>
      <c r="Z57" s="547"/>
      <c r="AA57" s="547"/>
      <c r="AB57" s="549"/>
      <c r="AC57" s="547">
        <v>485000000</v>
      </c>
      <c r="AD57" s="547"/>
      <c r="AE57" s="549">
        <v>836390000</v>
      </c>
    </row>
    <row r="58" spans="1:31" s="535" customFormat="1" ht="18.75" customHeight="1">
      <c r="A58" s="536" t="s">
        <v>75</v>
      </c>
      <c r="B58" s="537" t="s">
        <v>649</v>
      </c>
      <c r="C58" s="547">
        <f t="shared" si="14"/>
        <v>0</v>
      </c>
      <c r="D58" s="547">
        <f t="shared" si="14"/>
        <v>0</v>
      </c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9"/>
      <c r="Z58" s="538"/>
      <c r="AA58" s="538"/>
      <c r="AB58" s="539"/>
      <c r="AC58" s="538"/>
      <c r="AD58" s="538"/>
      <c r="AE58" s="539"/>
    </row>
    <row r="59" spans="1:31" s="535" customFormat="1" ht="18.75" customHeight="1">
      <c r="A59" s="536" t="s">
        <v>75</v>
      </c>
      <c r="B59" s="537" t="s">
        <v>650</v>
      </c>
      <c r="C59" s="547">
        <f t="shared" si="14"/>
        <v>0</v>
      </c>
      <c r="D59" s="547">
        <f t="shared" si="14"/>
        <v>0</v>
      </c>
      <c r="E59" s="538"/>
      <c r="F59" s="538"/>
      <c r="G59" s="538">
        <f>'[6]Sheet1'!H56</f>
        <v>0</v>
      </c>
      <c r="H59" s="538"/>
      <c r="I59" s="547"/>
      <c r="J59" s="538"/>
      <c r="K59" s="538"/>
      <c r="L59" s="547"/>
      <c r="M59" s="538"/>
      <c r="N59" s="538"/>
      <c r="O59" s="547"/>
      <c r="P59" s="538"/>
      <c r="Q59" s="538"/>
      <c r="R59" s="547"/>
      <c r="S59" s="538"/>
      <c r="T59" s="538"/>
      <c r="U59" s="547"/>
      <c r="V59" s="538"/>
      <c r="W59" s="538"/>
      <c r="X59" s="547"/>
      <c r="Y59" s="539"/>
      <c r="Z59" s="538"/>
      <c r="AA59" s="547"/>
      <c r="AB59" s="539"/>
      <c r="AC59" s="538"/>
      <c r="AD59" s="547"/>
      <c r="AE59" s="539"/>
    </row>
    <row r="60" spans="1:31" s="535" customFormat="1" ht="18.75" customHeight="1">
      <c r="A60" s="536" t="s">
        <v>76</v>
      </c>
      <c r="B60" s="537" t="s">
        <v>77</v>
      </c>
      <c r="C60" s="547">
        <f t="shared" si="14"/>
        <v>0</v>
      </c>
      <c r="D60" s="547">
        <f t="shared" si="14"/>
        <v>0</v>
      </c>
      <c r="E60" s="538"/>
      <c r="F60" s="538"/>
      <c r="G60" s="538"/>
      <c r="H60" s="538"/>
      <c r="I60" s="538"/>
      <c r="J60" s="538"/>
      <c r="K60" s="538"/>
      <c r="L60" s="538"/>
      <c r="M60" s="538"/>
      <c r="N60" s="538"/>
      <c r="O60" s="538"/>
      <c r="P60" s="538"/>
      <c r="Q60" s="538"/>
      <c r="R60" s="538"/>
      <c r="S60" s="538"/>
      <c r="T60" s="538"/>
      <c r="U60" s="538"/>
      <c r="V60" s="538"/>
      <c r="W60" s="538"/>
      <c r="X60" s="538"/>
      <c r="Y60" s="539"/>
      <c r="Z60" s="538"/>
      <c r="AA60" s="538"/>
      <c r="AB60" s="539"/>
      <c r="AC60" s="538"/>
      <c r="AD60" s="538"/>
      <c r="AE60" s="539"/>
    </row>
    <row r="61" spans="1:31" s="535" customFormat="1" ht="16.5" customHeight="1">
      <c r="A61" s="536" t="s">
        <v>78</v>
      </c>
      <c r="B61" s="537" t="s">
        <v>79</v>
      </c>
      <c r="C61" s="547">
        <f t="shared" si="14"/>
        <v>0</v>
      </c>
      <c r="D61" s="547">
        <f t="shared" si="14"/>
        <v>0</v>
      </c>
      <c r="E61" s="538"/>
      <c r="F61" s="538"/>
      <c r="G61" s="538"/>
      <c r="H61" s="538"/>
      <c r="I61" s="538"/>
      <c r="J61" s="538"/>
      <c r="K61" s="538"/>
      <c r="L61" s="538"/>
      <c r="M61" s="538"/>
      <c r="N61" s="538"/>
      <c r="O61" s="538"/>
      <c r="P61" s="538"/>
      <c r="Q61" s="538"/>
      <c r="R61" s="538"/>
      <c r="S61" s="538"/>
      <c r="T61" s="538"/>
      <c r="U61" s="538"/>
      <c r="V61" s="538"/>
      <c r="W61" s="538"/>
      <c r="X61" s="538"/>
      <c r="Y61" s="539"/>
      <c r="Z61" s="538"/>
      <c r="AA61" s="538"/>
      <c r="AB61" s="539"/>
      <c r="AC61" s="538"/>
      <c r="AD61" s="538"/>
      <c r="AE61" s="539">
        <v>817330724</v>
      </c>
    </row>
    <row r="62" spans="1:31" s="535" customFormat="1" ht="18.75" customHeight="1">
      <c r="A62" s="536" t="s">
        <v>80</v>
      </c>
      <c r="B62" s="537" t="s">
        <v>651</v>
      </c>
      <c r="C62" s="547">
        <f t="shared" si="14"/>
        <v>0</v>
      </c>
      <c r="D62" s="547">
        <f t="shared" si="14"/>
        <v>0</v>
      </c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  <c r="P62" s="538"/>
      <c r="Q62" s="538"/>
      <c r="R62" s="538"/>
      <c r="S62" s="538"/>
      <c r="T62" s="538"/>
      <c r="U62" s="538"/>
      <c r="V62" s="538"/>
      <c r="W62" s="538"/>
      <c r="X62" s="538"/>
      <c r="Y62" s="539"/>
      <c r="Z62" s="538"/>
      <c r="AA62" s="538"/>
      <c r="AB62" s="539"/>
      <c r="AC62" s="538"/>
      <c r="AD62" s="538"/>
      <c r="AE62" s="539">
        <v>8979267680</v>
      </c>
    </row>
    <row r="63" spans="1:31" s="535" customFormat="1" ht="18.75" customHeight="1">
      <c r="A63" s="536" t="s">
        <v>80</v>
      </c>
      <c r="B63" s="537" t="s">
        <v>189</v>
      </c>
      <c r="C63" s="547">
        <f t="shared" si="14"/>
        <v>0</v>
      </c>
      <c r="D63" s="547">
        <f t="shared" si="14"/>
        <v>0</v>
      </c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P63" s="538"/>
      <c r="Q63" s="538"/>
      <c r="R63" s="538"/>
      <c r="S63" s="538"/>
      <c r="T63" s="538"/>
      <c r="U63" s="538"/>
      <c r="V63" s="538"/>
      <c r="W63" s="538"/>
      <c r="X63" s="538"/>
      <c r="Y63" s="539"/>
      <c r="Z63" s="538"/>
      <c r="AA63" s="538"/>
      <c r="AB63" s="539"/>
      <c r="AC63" s="538"/>
      <c r="AD63" s="538"/>
      <c r="AE63" s="539"/>
    </row>
    <row r="64" spans="1:31" s="535" customFormat="1" ht="18.75" customHeight="1">
      <c r="A64" s="536" t="s">
        <v>81</v>
      </c>
      <c r="B64" s="537" t="s">
        <v>82</v>
      </c>
      <c r="C64" s="538">
        <f>C65+C66+C67</f>
        <v>0</v>
      </c>
      <c r="D64" s="538">
        <f>D65+D66+D67</f>
        <v>0</v>
      </c>
      <c r="E64" s="538">
        <f>E65+E66+E67</f>
        <v>0</v>
      </c>
      <c r="F64" s="538">
        <f>F65+F66+F67</f>
        <v>0</v>
      </c>
      <c r="G64" s="538" t="e">
        <f aca="true" t="shared" si="15" ref="G64:AD64">G65+G66+G67</f>
        <v>#REF!</v>
      </c>
      <c r="H64" s="538">
        <f t="shared" si="15"/>
        <v>0</v>
      </c>
      <c r="I64" s="538">
        <f t="shared" si="15"/>
        <v>0</v>
      </c>
      <c r="J64" s="538">
        <f t="shared" si="15"/>
        <v>2405427001</v>
      </c>
      <c r="K64" s="538">
        <f t="shared" si="15"/>
        <v>0</v>
      </c>
      <c r="L64" s="538">
        <f t="shared" si="15"/>
        <v>0</v>
      </c>
      <c r="M64" s="538">
        <f t="shared" si="15"/>
        <v>2750576779</v>
      </c>
      <c r="N64" s="538">
        <f t="shared" si="15"/>
        <v>0</v>
      </c>
      <c r="O64" s="538">
        <f t="shared" si="15"/>
        <v>0</v>
      </c>
      <c r="P64" s="538">
        <f t="shared" si="15"/>
        <v>16707057573</v>
      </c>
      <c r="Q64" s="538">
        <f t="shared" si="15"/>
        <v>0</v>
      </c>
      <c r="R64" s="538">
        <f t="shared" si="15"/>
        <v>0</v>
      </c>
      <c r="S64" s="538">
        <f t="shared" si="15"/>
        <v>27582517588</v>
      </c>
      <c r="T64" s="538">
        <f t="shared" si="15"/>
        <v>0</v>
      </c>
      <c r="U64" s="538">
        <f t="shared" si="15"/>
        <v>0</v>
      </c>
      <c r="V64" s="538">
        <f t="shared" si="15"/>
        <v>3099573556</v>
      </c>
      <c r="W64" s="538">
        <f t="shared" si="15"/>
        <v>0</v>
      </c>
      <c r="X64" s="538">
        <f t="shared" si="15"/>
        <v>0</v>
      </c>
      <c r="Y64" s="538">
        <f t="shared" si="15"/>
        <v>3099573556</v>
      </c>
      <c r="Z64" s="538">
        <f t="shared" si="15"/>
        <v>0</v>
      </c>
      <c r="AA64" s="538">
        <f t="shared" si="15"/>
        <v>0</v>
      </c>
      <c r="AB64" s="538">
        <f t="shared" si="15"/>
        <v>3099573556</v>
      </c>
      <c r="AC64" s="538">
        <f t="shared" si="15"/>
        <v>0</v>
      </c>
      <c r="AD64" s="538">
        <f t="shared" si="15"/>
        <v>0</v>
      </c>
      <c r="AE64" s="539">
        <v>0</v>
      </c>
    </row>
    <row r="65" spans="1:31" ht="18.75" customHeight="1">
      <c r="A65" s="545" t="s">
        <v>200</v>
      </c>
      <c r="B65" s="546" t="s">
        <v>83</v>
      </c>
      <c r="C65" s="547">
        <f aca="true" t="shared" si="16" ref="C65:D67">E65+H65+K65+N65+Q65+T65+W65+Z65+AC65</f>
        <v>0</v>
      </c>
      <c r="D65" s="547">
        <f t="shared" si="16"/>
        <v>0</v>
      </c>
      <c r="E65" s="547"/>
      <c r="F65" s="547"/>
      <c r="G65" s="547" t="e">
        <f>#REF!+#REF!</f>
        <v>#REF!</v>
      </c>
      <c r="H65" s="547"/>
      <c r="I65" s="538"/>
      <c r="J65" s="547">
        <v>213260540</v>
      </c>
      <c r="K65" s="547"/>
      <c r="L65" s="538"/>
      <c r="M65" s="547">
        <v>223309866</v>
      </c>
      <c r="N65" s="547"/>
      <c r="O65" s="538"/>
      <c r="P65" s="548">
        <v>561161390</v>
      </c>
      <c r="Q65" s="547"/>
      <c r="R65" s="538"/>
      <c r="S65" s="547">
        <v>83705640</v>
      </c>
      <c r="T65" s="547"/>
      <c r="U65" s="538"/>
      <c r="V65" s="547">
        <v>2134387028</v>
      </c>
      <c r="W65" s="547"/>
      <c r="X65" s="538"/>
      <c r="Y65" s="549">
        <v>2134387028</v>
      </c>
      <c r="Z65" s="547"/>
      <c r="AA65" s="538"/>
      <c r="AB65" s="549">
        <v>2134387028</v>
      </c>
      <c r="AC65" s="547"/>
      <c r="AD65" s="538"/>
      <c r="AE65" s="549">
        <v>2134387028</v>
      </c>
    </row>
    <row r="66" spans="1:31" ht="18.75" customHeight="1">
      <c r="A66" s="545" t="s">
        <v>201</v>
      </c>
      <c r="B66" s="546" t="s">
        <v>84</v>
      </c>
      <c r="C66" s="547">
        <f t="shared" si="16"/>
        <v>0</v>
      </c>
      <c r="D66" s="547">
        <f t="shared" si="16"/>
        <v>0</v>
      </c>
      <c r="E66" s="547"/>
      <c r="F66" s="547"/>
      <c r="G66" s="547" t="e">
        <f>#REF!+#REF!</f>
        <v>#REF!</v>
      </c>
      <c r="H66" s="547"/>
      <c r="I66" s="538"/>
      <c r="J66" s="547">
        <v>1022437461</v>
      </c>
      <c r="K66" s="547"/>
      <c r="L66" s="538"/>
      <c r="M66" s="547">
        <v>1057966413</v>
      </c>
      <c r="N66" s="547"/>
      <c r="O66" s="538"/>
      <c r="P66" s="548">
        <f>11924184530+1937327353</f>
        <v>13861511883</v>
      </c>
      <c r="Q66" s="547"/>
      <c r="R66" s="551"/>
      <c r="S66" s="547">
        <v>27338996748</v>
      </c>
      <c r="T66" s="547"/>
      <c r="U66" s="551"/>
      <c r="V66" s="547">
        <v>170420600</v>
      </c>
      <c r="W66" s="547"/>
      <c r="X66" s="551"/>
      <c r="Y66" s="549">
        <v>170420600</v>
      </c>
      <c r="Z66" s="547"/>
      <c r="AA66" s="551"/>
      <c r="AB66" s="549">
        <v>170420600</v>
      </c>
      <c r="AC66" s="547"/>
      <c r="AD66" s="551"/>
      <c r="AE66" s="549">
        <v>170420600</v>
      </c>
    </row>
    <row r="67" spans="1:31" ht="18.75" customHeight="1">
      <c r="A67" s="545" t="s">
        <v>202</v>
      </c>
      <c r="B67" s="546" t="s">
        <v>85</v>
      </c>
      <c r="C67" s="547">
        <f t="shared" si="16"/>
        <v>0</v>
      </c>
      <c r="D67" s="547">
        <f t="shared" si="16"/>
        <v>0</v>
      </c>
      <c r="E67" s="547"/>
      <c r="F67" s="547"/>
      <c r="G67" s="547" t="e">
        <f>#REF!+#REF!</f>
        <v>#REF!</v>
      </c>
      <c r="H67" s="547"/>
      <c r="I67" s="538"/>
      <c r="J67" s="547">
        <v>1169729000</v>
      </c>
      <c r="K67" s="547"/>
      <c r="L67" s="538"/>
      <c r="M67" s="547">
        <v>1469300500</v>
      </c>
      <c r="N67" s="547"/>
      <c r="O67" s="538"/>
      <c r="P67" s="548">
        <v>2284384300</v>
      </c>
      <c r="Q67" s="547"/>
      <c r="R67" s="551"/>
      <c r="S67" s="547">
        <v>159815200</v>
      </c>
      <c r="T67" s="547"/>
      <c r="U67" s="551"/>
      <c r="V67" s="547">
        <v>794765928</v>
      </c>
      <c r="W67" s="547"/>
      <c r="X67" s="551"/>
      <c r="Y67" s="549">
        <v>794765928</v>
      </c>
      <c r="Z67" s="547"/>
      <c r="AA67" s="551"/>
      <c r="AB67" s="549">
        <v>794765928</v>
      </c>
      <c r="AC67" s="547"/>
      <c r="AD67" s="551"/>
      <c r="AE67" s="549">
        <v>794765928</v>
      </c>
    </row>
    <row r="68" spans="1:31" s="535" customFormat="1" ht="18.75" customHeight="1">
      <c r="A68" s="536" t="s">
        <v>86</v>
      </c>
      <c r="B68" s="537" t="s">
        <v>652</v>
      </c>
      <c r="C68" s="538">
        <f aca="true" t="shared" si="17" ref="C68:H68">SUM(C69:C74)</f>
        <v>0</v>
      </c>
      <c r="D68" s="538">
        <f t="shared" si="17"/>
        <v>0</v>
      </c>
      <c r="E68" s="538">
        <f t="shared" si="17"/>
        <v>0</v>
      </c>
      <c r="F68" s="538">
        <f t="shared" si="17"/>
        <v>0</v>
      </c>
      <c r="G68" s="538">
        <f t="shared" si="17"/>
        <v>0</v>
      </c>
      <c r="H68" s="538">
        <f t="shared" si="17"/>
        <v>0</v>
      </c>
      <c r="I68" s="538">
        <f>H68</f>
        <v>0</v>
      </c>
      <c r="J68" s="538">
        <f>SUM(J69:J75)</f>
        <v>0</v>
      </c>
      <c r="K68" s="538">
        <f aca="true" t="shared" si="18" ref="K68:Q68">SUM(K69:K74)</f>
        <v>0</v>
      </c>
      <c r="L68" s="538">
        <f t="shared" si="18"/>
        <v>0</v>
      </c>
      <c r="M68" s="538">
        <f t="shared" si="18"/>
        <v>0</v>
      </c>
      <c r="N68" s="538">
        <f t="shared" si="18"/>
        <v>0</v>
      </c>
      <c r="O68" s="538">
        <f t="shared" si="18"/>
        <v>0</v>
      </c>
      <c r="P68" s="538">
        <f t="shared" si="18"/>
        <v>0</v>
      </c>
      <c r="Q68" s="538">
        <f t="shared" si="18"/>
        <v>0</v>
      </c>
      <c r="R68" s="538">
        <f aca="true" t="shared" si="19" ref="R68:AE68">SUM(R69:R75)</f>
        <v>0</v>
      </c>
      <c r="S68" s="538">
        <f t="shared" si="19"/>
        <v>0</v>
      </c>
      <c r="T68" s="538">
        <f t="shared" si="19"/>
        <v>0</v>
      </c>
      <c r="U68" s="538">
        <f t="shared" si="19"/>
        <v>0</v>
      </c>
      <c r="V68" s="538">
        <f t="shared" si="19"/>
        <v>0</v>
      </c>
      <c r="W68" s="538">
        <f t="shared" si="19"/>
        <v>0</v>
      </c>
      <c r="X68" s="538">
        <f t="shared" si="19"/>
        <v>0</v>
      </c>
      <c r="Y68" s="539">
        <f t="shared" si="19"/>
        <v>0</v>
      </c>
      <c r="Z68" s="538">
        <f t="shared" si="19"/>
        <v>0</v>
      </c>
      <c r="AA68" s="538">
        <f t="shared" si="19"/>
        <v>0</v>
      </c>
      <c r="AB68" s="539">
        <f t="shared" si="19"/>
        <v>0</v>
      </c>
      <c r="AC68" s="538">
        <f t="shared" si="19"/>
        <v>0</v>
      </c>
      <c r="AD68" s="538">
        <f t="shared" si="19"/>
        <v>0</v>
      </c>
      <c r="AE68" s="539">
        <f t="shared" si="19"/>
        <v>38923212464</v>
      </c>
    </row>
    <row r="69" spans="1:31" ht="18.75" customHeight="1">
      <c r="A69" s="545" t="s">
        <v>87</v>
      </c>
      <c r="B69" s="546" t="s">
        <v>653</v>
      </c>
      <c r="C69" s="547">
        <f aca="true" t="shared" si="20" ref="C69:D76">E69+H69+K69+N69+Q69+T69+W69+Z69+AC69</f>
        <v>0</v>
      </c>
      <c r="D69" s="547">
        <f t="shared" si="20"/>
        <v>0</v>
      </c>
      <c r="E69" s="547"/>
      <c r="F69" s="547"/>
      <c r="G69" s="547"/>
      <c r="H69" s="547"/>
      <c r="I69" s="538"/>
      <c r="J69" s="547"/>
      <c r="K69" s="547"/>
      <c r="L69" s="538"/>
      <c r="M69" s="547"/>
      <c r="N69" s="547"/>
      <c r="O69" s="538"/>
      <c r="P69" s="548"/>
      <c r="Q69" s="547"/>
      <c r="R69" s="538"/>
      <c r="S69" s="547"/>
      <c r="T69" s="547"/>
      <c r="U69" s="538"/>
      <c r="V69" s="547"/>
      <c r="W69" s="547"/>
      <c r="X69" s="538"/>
      <c r="Y69" s="549"/>
      <c r="Z69" s="547"/>
      <c r="AA69" s="551"/>
      <c r="AB69" s="549"/>
      <c r="AC69" s="547"/>
      <c r="AD69" s="538"/>
      <c r="AE69" s="549"/>
    </row>
    <row r="70" spans="1:31" ht="18.75" customHeight="1">
      <c r="A70" s="545" t="s">
        <v>88</v>
      </c>
      <c r="B70" s="546" t="s">
        <v>654</v>
      </c>
      <c r="C70" s="547">
        <f t="shared" si="20"/>
        <v>0</v>
      </c>
      <c r="D70" s="547">
        <f t="shared" si="20"/>
        <v>0</v>
      </c>
      <c r="E70" s="547"/>
      <c r="F70" s="547"/>
      <c r="G70" s="547"/>
      <c r="H70" s="547"/>
      <c r="I70" s="538"/>
      <c r="J70" s="547"/>
      <c r="K70" s="547"/>
      <c r="L70" s="538"/>
      <c r="M70" s="547"/>
      <c r="N70" s="547"/>
      <c r="O70" s="538"/>
      <c r="P70" s="548"/>
      <c r="Q70" s="547"/>
      <c r="R70" s="538"/>
      <c r="S70" s="547"/>
      <c r="T70" s="547"/>
      <c r="U70" s="538"/>
      <c r="V70" s="547"/>
      <c r="W70" s="547"/>
      <c r="X70" s="538"/>
      <c r="Y70" s="549"/>
      <c r="Z70" s="547"/>
      <c r="AA70" s="538"/>
      <c r="AB70" s="549"/>
      <c r="AC70" s="547"/>
      <c r="AD70" s="538"/>
      <c r="AE70" s="549"/>
    </row>
    <row r="71" spans="1:31" ht="18.75" customHeight="1">
      <c r="A71" s="545" t="s">
        <v>89</v>
      </c>
      <c r="B71" s="546" t="s">
        <v>90</v>
      </c>
      <c r="C71" s="547">
        <f t="shared" si="20"/>
        <v>0</v>
      </c>
      <c r="D71" s="547">
        <f t="shared" si="20"/>
        <v>0</v>
      </c>
      <c r="E71" s="547"/>
      <c r="F71" s="547"/>
      <c r="G71" s="547"/>
      <c r="H71" s="547"/>
      <c r="I71" s="551"/>
      <c r="J71" s="547"/>
      <c r="K71" s="547"/>
      <c r="L71" s="551"/>
      <c r="M71" s="547"/>
      <c r="N71" s="547"/>
      <c r="O71" s="551"/>
      <c r="P71" s="548"/>
      <c r="Q71" s="547"/>
      <c r="R71" s="551"/>
      <c r="S71" s="547"/>
      <c r="T71" s="547"/>
      <c r="U71" s="551"/>
      <c r="V71" s="547"/>
      <c r="W71" s="547"/>
      <c r="X71" s="551"/>
      <c r="Y71" s="549"/>
      <c r="Z71" s="547"/>
      <c r="AA71" s="551"/>
      <c r="AB71" s="549"/>
      <c r="AC71" s="547"/>
      <c r="AD71" s="551"/>
      <c r="AE71" s="549"/>
    </row>
    <row r="72" spans="1:31" ht="18.75" customHeight="1">
      <c r="A72" s="545" t="s">
        <v>203</v>
      </c>
      <c r="B72" s="546" t="s">
        <v>91</v>
      </c>
      <c r="C72" s="547">
        <f t="shared" si="20"/>
        <v>0</v>
      </c>
      <c r="D72" s="547">
        <f t="shared" si="20"/>
        <v>0</v>
      </c>
      <c r="E72" s="547"/>
      <c r="F72" s="547"/>
      <c r="G72" s="547"/>
      <c r="H72" s="547"/>
      <c r="I72" s="551"/>
      <c r="J72" s="547"/>
      <c r="K72" s="547"/>
      <c r="L72" s="551"/>
      <c r="M72" s="547"/>
      <c r="N72" s="547"/>
      <c r="O72" s="551"/>
      <c r="P72" s="548"/>
      <c r="Q72" s="547"/>
      <c r="R72" s="551"/>
      <c r="S72" s="547"/>
      <c r="T72" s="547"/>
      <c r="U72" s="551"/>
      <c r="V72" s="547"/>
      <c r="W72" s="547"/>
      <c r="X72" s="551"/>
      <c r="Y72" s="549"/>
      <c r="Z72" s="547"/>
      <c r="AA72" s="551"/>
      <c r="AB72" s="549"/>
      <c r="AC72" s="547"/>
      <c r="AD72" s="551"/>
      <c r="AE72" s="549">
        <v>320495964</v>
      </c>
    </row>
    <row r="73" spans="1:31" ht="18.75" customHeight="1">
      <c r="A73" s="545" t="s">
        <v>204</v>
      </c>
      <c r="B73" s="546" t="s">
        <v>92</v>
      </c>
      <c r="C73" s="547">
        <f t="shared" si="20"/>
        <v>0</v>
      </c>
      <c r="D73" s="547">
        <f t="shared" si="20"/>
        <v>0</v>
      </c>
      <c r="E73" s="547"/>
      <c r="F73" s="547"/>
      <c r="G73" s="547"/>
      <c r="H73" s="547"/>
      <c r="I73" s="551"/>
      <c r="J73" s="547"/>
      <c r="K73" s="547"/>
      <c r="L73" s="551"/>
      <c r="M73" s="547"/>
      <c r="N73" s="547"/>
      <c r="O73" s="551"/>
      <c r="P73" s="548"/>
      <c r="Q73" s="547"/>
      <c r="R73" s="551"/>
      <c r="S73" s="547"/>
      <c r="T73" s="547"/>
      <c r="U73" s="551"/>
      <c r="V73" s="547"/>
      <c r="W73" s="547"/>
      <c r="X73" s="551"/>
      <c r="Y73" s="549"/>
      <c r="Z73" s="547"/>
      <c r="AA73" s="551"/>
      <c r="AB73" s="549"/>
      <c r="AC73" s="547"/>
      <c r="AD73" s="551"/>
      <c r="AE73" s="549">
        <v>38602716500</v>
      </c>
    </row>
    <row r="74" spans="1:31" ht="18.75" customHeight="1">
      <c r="A74" s="545" t="s">
        <v>205</v>
      </c>
      <c r="B74" s="546" t="s">
        <v>655</v>
      </c>
      <c r="C74" s="547">
        <f t="shared" si="20"/>
        <v>0</v>
      </c>
      <c r="D74" s="547">
        <f t="shared" si="20"/>
        <v>0</v>
      </c>
      <c r="E74" s="547"/>
      <c r="F74" s="547"/>
      <c r="G74" s="547"/>
      <c r="H74" s="547"/>
      <c r="I74" s="551"/>
      <c r="J74" s="547"/>
      <c r="K74" s="547"/>
      <c r="L74" s="551"/>
      <c r="M74" s="547"/>
      <c r="N74" s="547"/>
      <c r="O74" s="551"/>
      <c r="P74" s="548"/>
      <c r="Q74" s="547"/>
      <c r="R74" s="551"/>
      <c r="S74" s="547"/>
      <c r="T74" s="547"/>
      <c r="U74" s="551"/>
      <c r="V74" s="547"/>
      <c r="W74" s="547"/>
      <c r="X74" s="551"/>
      <c r="Y74" s="549"/>
      <c r="Z74" s="547"/>
      <c r="AA74" s="551"/>
      <c r="AB74" s="549"/>
      <c r="AC74" s="547"/>
      <c r="AD74" s="551"/>
      <c r="AE74" s="549"/>
    </row>
    <row r="75" spans="1:31" ht="18.75" customHeight="1">
      <c r="A75" s="545" t="s">
        <v>656</v>
      </c>
      <c r="B75" s="546" t="s">
        <v>647</v>
      </c>
      <c r="C75" s="547">
        <f t="shared" si="20"/>
        <v>0</v>
      </c>
      <c r="D75" s="547">
        <f t="shared" si="20"/>
        <v>0</v>
      </c>
      <c r="E75" s="547"/>
      <c r="F75" s="547"/>
      <c r="G75" s="547"/>
      <c r="H75" s="547"/>
      <c r="I75" s="551"/>
      <c r="J75" s="547"/>
      <c r="K75" s="547"/>
      <c r="L75" s="551"/>
      <c r="M75" s="547"/>
      <c r="N75" s="547"/>
      <c r="O75" s="551"/>
      <c r="P75" s="548"/>
      <c r="Q75" s="547"/>
      <c r="R75" s="551"/>
      <c r="S75" s="547"/>
      <c r="T75" s="547"/>
      <c r="U75" s="551"/>
      <c r="V75" s="547"/>
      <c r="W75" s="547"/>
      <c r="X75" s="551"/>
      <c r="Y75" s="549"/>
      <c r="Z75" s="547"/>
      <c r="AA75" s="551"/>
      <c r="AB75" s="549"/>
      <c r="AC75" s="547"/>
      <c r="AD75" s="551"/>
      <c r="AE75" s="549"/>
    </row>
    <row r="76" spans="1:31" s="535" customFormat="1" ht="18.75" customHeight="1">
      <c r="A76" s="536" t="s">
        <v>657</v>
      </c>
      <c r="B76" s="537" t="s">
        <v>658</v>
      </c>
      <c r="C76" s="547">
        <f t="shared" si="20"/>
        <v>0</v>
      </c>
      <c r="D76" s="547">
        <f t="shared" si="20"/>
        <v>0</v>
      </c>
      <c r="E76" s="538"/>
      <c r="F76" s="538"/>
      <c r="G76" s="538"/>
      <c r="H76" s="538"/>
      <c r="I76" s="551"/>
      <c r="J76" s="538"/>
      <c r="K76" s="538"/>
      <c r="L76" s="551"/>
      <c r="M76" s="538"/>
      <c r="N76" s="538"/>
      <c r="O76" s="551"/>
      <c r="P76" s="538"/>
      <c r="Q76" s="538"/>
      <c r="R76" s="551"/>
      <c r="S76" s="538"/>
      <c r="T76" s="538"/>
      <c r="U76" s="551"/>
      <c r="V76" s="538"/>
      <c r="W76" s="538"/>
      <c r="X76" s="551"/>
      <c r="Y76" s="539"/>
      <c r="Z76" s="538"/>
      <c r="AA76" s="551"/>
      <c r="AB76" s="539"/>
      <c r="AC76" s="538"/>
      <c r="AD76" s="551"/>
      <c r="AE76" s="539">
        <v>40152305</v>
      </c>
    </row>
    <row r="77" spans="1:31" s="535" customFormat="1" ht="18.75" customHeight="1">
      <c r="A77" s="536" t="s">
        <v>93</v>
      </c>
      <c r="B77" s="537" t="s">
        <v>94</v>
      </c>
      <c r="C77" s="538">
        <f>SUM(C78:C83)</f>
        <v>0</v>
      </c>
      <c r="D77" s="538">
        <f aca="true" t="shared" si="21" ref="D77:M77">SUM(D78:D83)</f>
        <v>0</v>
      </c>
      <c r="E77" s="538">
        <f t="shared" si="21"/>
        <v>0</v>
      </c>
      <c r="F77" s="538">
        <f t="shared" si="21"/>
        <v>0</v>
      </c>
      <c r="G77" s="538">
        <f t="shared" si="21"/>
        <v>0</v>
      </c>
      <c r="H77" s="538">
        <f t="shared" si="21"/>
        <v>0</v>
      </c>
      <c r="I77" s="538">
        <f t="shared" si="21"/>
        <v>0</v>
      </c>
      <c r="J77" s="538">
        <f t="shared" si="21"/>
        <v>0</v>
      </c>
      <c r="K77" s="538">
        <f t="shared" si="21"/>
        <v>0</v>
      </c>
      <c r="L77" s="538">
        <f t="shared" si="21"/>
        <v>0</v>
      </c>
      <c r="M77" s="538">
        <f t="shared" si="21"/>
        <v>0</v>
      </c>
      <c r="N77" s="538">
        <f aca="true" t="shared" si="22" ref="N77:AD77">SUM(N78:N83)</f>
        <v>0</v>
      </c>
      <c r="O77" s="538">
        <f t="shared" si="22"/>
        <v>0</v>
      </c>
      <c r="P77" s="538">
        <f t="shared" si="22"/>
        <v>0</v>
      </c>
      <c r="Q77" s="538">
        <f t="shared" si="22"/>
        <v>0</v>
      </c>
      <c r="R77" s="538">
        <f t="shared" si="22"/>
        <v>0</v>
      </c>
      <c r="S77" s="538">
        <f t="shared" si="22"/>
        <v>0</v>
      </c>
      <c r="T77" s="538">
        <f t="shared" si="22"/>
        <v>0</v>
      </c>
      <c r="U77" s="538">
        <f t="shared" si="22"/>
        <v>0</v>
      </c>
      <c r="V77" s="538">
        <f t="shared" si="22"/>
        <v>0</v>
      </c>
      <c r="W77" s="538">
        <f t="shared" si="22"/>
        <v>0</v>
      </c>
      <c r="X77" s="538">
        <f t="shared" si="22"/>
        <v>0</v>
      </c>
      <c r="Y77" s="538">
        <f t="shared" si="22"/>
        <v>0</v>
      </c>
      <c r="Z77" s="538">
        <f t="shared" si="22"/>
        <v>0</v>
      </c>
      <c r="AA77" s="538">
        <f t="shared" si="22"/>
        <v>0</v>
      </c>
      <c r="AB77" s="538">
        <f t="shared" si="22"/>
        <v>0</v>
      </c>
      <c r="AC77" s="538">
        <f t="shared" si="22"/>
        <v>0</v>
      </c>
      <c r="AD77" s="538">
        <f t="shared" si="22"/>
        <v>0</v>
      </c>
      <c r="AE77" s="539">
        <f>SUM(AE78:AE83)</f>
        <v>2481375819</v>
      </c>
    </row>
    <row r="78" spans="1:31" ht="18.75" customHeight="1">
      <c r="A78" s="545" t="s">
        <v>190</v>
      </c>
      <c r="B78" s="546" t="s">
        <v>95</v>
      </c>
      <c r="C78" s="547">
        <f aca="true" t="shared" si="23" ref="C78:D83">E78+H78+K78+N78+Q78+T78+W78+Z78+AC78</f>
        <v>0</v>
      </c>
      <c r="D78" s="547">
        <f t="shared" si="23"/>
        <v>0</v>
      </c>
      <c r="E78" s="547"/>
      <c r="F78" s="547"/>
      <c r="G78" s="547"/>
      <c r="H78" s="547"/>
      <c r="I78" s="551"/>
      <c r="J78" s="547"/>
      <c r="K78" s="547"/>
      <c r="L78" s="551"/>
      <c r="M78" s="547"/>
      <c r="N78" s="547"/>
      <c r="O78" s="551"/>
      <c r="P78" s="548"/>
      <c r="Q78" s="547"/>
      <c r="R78" s="551"/>
      <c r="S78" s="547"/>
      <c r="T78" s="547"/>
      <c r="U78" s="551"/>
      <c r="V78" s="547"/>
      <c r="W78" s="547"/>
      <c r="X78" s="551"/>
      <c r="Y78" s="549"/>
      <c r="Z78" s="547"/>
      <c r="AA78" s="551"/>
      <c r="AB78" s="549"/>
      <c r="AC78" s="547"/>
      <c r="AD78" s="551"/>
      <c r="AE78" s="549">
        <v>1978263819</v>
      </c>
    </row>
    <row r="79" spans="1:31" ht="18.75" customHeight="1">
      <c r="A79" s="545" t="s">
        <v>191</v>
      </c>
      <c r="B79" s="546" t="s">
        <v>96</v>
      </c>
      <c r="C79" s="547">
        <f t="shared" si="23"/>
        <v>0</v>
      </c>
      <c r="D79" s="547">
        <f t="shared" si="23"/>
        <v>0</v>
      </c>
      <c r="E79" s="547"/>
      <c r="F79" s="547"/>
      <c r="G79" s="547"/>
      <c r="H79" s="547"/>
      <c r="I79" s="551"/>
      <c r="J79" s="547"/>
      <c r="K79" s="547"/>
      <c r="L79" s="551"/>
      <c r="M79" s="547"/>
      <c r="N79" s="547"/>
      <c r="O79" s="551"/>
      <c r="P79" s="548"/>
      <c r="Q79" s="547"/>
      <c r="R79" s="551"/>
      <c r="S79" s="547"/>
      <c r="T79" s="547"/>
      <c r="U79" s="551"/>
      <c r="V79" s="547"/>
      <c r="W79" s="547"/>
      <c r="X79" s="551"/>
      <c r="Y79" s="549"/>
      <c r="Z79" s="547"/>
      <c r="AA79" s="551"/>
      <c r="AB79" s="549"/>
      <c r="AC79" s="547"/>
      <c r="AD79" s="551"/>
      <c r="AE79" s="549"/>
    </row>
    <row r="80" spans="1:31" ht="18.75" customHeight="1">
      <c r="A80" s="545" t="s">
        <v>192</v>
      </c>
      <c r="B80" s="546" t="s">
        <v>97</v>
      </c>
      <c r="C80" s="547">
        <f t="shared" si="23"/>
        <v>0</v>
      </c>
      <c r="D80" s="547">
        <f t="shared" si="23"/>
        <v>0</v>
      </c>
      <c r="E80" s="547"/>
      <c r="F80" s="547"/>
      <c r="G80" s="547"/>
      <c r="H80" s="547"/>
      <c r="I80" s="551"/>
      <c r="J80" s="547"/>
      <c r="K80" s="547"/>
      <c r="L80" s="551"/>
      <c r="M80" s="547"/>
      <c r="N80" s="547"/>
      <c r="O80" s="551"/>
      <c r="P80" s="548"/>
      <c r="Q80" s="547"/>
      <c r="R80" s="551"/>
      <c r="S80" s="547"/>
      <c r="T80" s="547"/>
      <c r="U80" s="551"/>
      <c r="V80" s="547"/>
      <c r="W80" s="547"/>
      <c r="X80" s="551"/>
      <c r="Y80" s="549"/>
      <c r="Z80" s="547"/>
      <c r="AA80" s="551"/>
      <c r="AB80" s="549"/>
      <c r="AC80" s="547"/>
      <c r="AD80" s="551"/>
      <c r="AE80" s="549">
        <v>70515000</v>
      </c>
    </row>
    <row r="81" spans="1:31" ht="18.75" customHeight="1">
      <c r="A81" s="545" t="s">
        <v>193</v>
      </c>
      <c r="B81" s="546" t="s">
        <v>98</v>
      </c>
      <c r="C81" s="547">
        <f t="shared" si="23"/>
        <v>0</v>
      </c>
      <c r="D81" s="547">
        <f t="shared" si="23"/>
        <v>0</v>
      </c>
      <c r="E81" s="547"/>
      <c r="F81" s="547"/>
      <c r="G81" s="547"/>
      <c r="H81" s="547"/>
      <c r="I81" s="551"/>
      <c r="J81" s="547"/>
      <c r="K81" s="547"/>
      <c r="L81" s="551"/>
      <c r="M81" s="547"/>
      <c r="N81" s="547"/>
      <c r="O81" s="551"/>
      <c r="P81" s="548"/>
      <c r="Q81" s="547"/>
      <c r="R81" s="551"/>
      <c r="S81" s="547"/>
      <c r="T81" s="547"/>
      <c r="U81" s="551"/>
      <c r="V81" s="547"/>
      <c r="W81" s="547"/>
      <c r="X81" s="551"/>
      <c r="Y81" s="549"/>
      <c r="Z81" s="547"/>
      <c r="AA81" s="551"/>
      <c r="AB81" s="549"/>
      <c r="AC81" s="547"/>
      <c r="AD81" s="551"/>
      <c r="AE81" s="549">
        <v>11572000</v>
      </c>
    </row>
    <row r="82" spans="1:31" ht="18.75" customHeight="1">
      <c r="A82" s="545" t="s">
        <v>194</v>
      </c>
      <c r="B82" s="546" t="s">
        <v>99</v>
      </c>
      <c r="C82" s="547">
        <f t="shared" si="23"/>
        <v>0</v>
      </c>
      <c r="D82" s="547">
        <f t="shared" si="23"/>
        <v>0</v>
      </c>
      <c r="E82" s="547"/>
      <c r="F82" s="547"/>
      <c r="G82" s="547"/>
      <c r="H82" s="547"/>
      <c r="I82" s="551"/>
      <c r="J82" s="547"/>
      <c r="K82" s="547"/>
      <c r="L82" s="551"/>
      <c r="M82" s="547"/>
      <c r="N82" s="547"/>
      <c r="O82" s="551"/>
      <c r="P82" s="548"/>
      <c r="Q82" s="547"/>
      <c r="R82" s="551"/>
      <c r="S82" s="547"/>
      <c r="T82" s="547"/>
      <c r="U82" s="551"/>
      <c r="V82" s="547"/>
      <c r="W82" s="547"/>
      <c r="X82" s="551"/>
      <c r="Y82" s="549"/>
      <c r="Z82" s="547"/>
      <c r="AA82" s="551"/>
      <c r="AB82" s="549"/>
      <c r="AC82" s="547"/>
      <c r="AD82" s="551"/>
      <c r="AE82" s="549">
        <v>413589000</v>
      </c>
    </row>
    <row r="83" spans="1:31" ht="18.75" customHeight="1">
      <c r="A83" s="545" t="s">
        <v>195</v>
      </c>
      <c r="B83" s="546" t="s">
        <v>100</v>
      </c>
      <c r="C83" s="547">
        <f t="shared" si="23"/>
        <v>0</v>
      </c>
      <c r="D83" s="547">
        <f t="shared" si="23"/>
        <v>0</v>
      </c>
      <c r="E83" s="547"/>
      <c r="F83" s="547"/>
      <c r="G83" s="547"/>
      <c r="H83" s="547"/>
      <c r="I83" s="551"/>
      <c r="J83" s="547"/>
      <c r="K83" s="547"/>
      <c r="L83" s="551"/>
      <c r="M83" s="547"/>
      <c r="N83" s="547"/>
      <c r="O83" s="551"/>
      <c r="P83" s="548"/>
      <c r="Q83" s="547"/>
      <c r="R83" s="551"/>
      <c r="S83" s="547"/>
      <c r="T83" s="547"/>
      <c r="U83" s="551"/>
      <c r="V83" s="547"/>
      <c r="W83" s="547"/>
      <c r="X83" s="551"/>
      <c r="Y83" s="549"/>
      <c r="Z83" s="547"/>
      <c r="AA83" s="551"/>
      <c r="AB83" s="549"/>
      <c r="AC83" s="547"/>
      <c r="AD83" s="551"/>
      <c r="AE83" s="549">
        <v>7436000</v>
      </c>
    </row>
    <row r="84" spans="1:31" s="535" customFormat="1" ht="18.75" customHeight="1">
      <c r="A84" s="536" t="s">
        <v>657</v>
      </c>
      <c r="B84" s="537" t="s">
        <v>101</v>
      </c>
      <c r="C84" s="538">
        <f>SUM(C85:C97)</f>
        <v>0</v>
      </c>
      <c r="D84" s="538">
        <f aca="true" t="shared" si="24" ref="D84:AD84">SUM(D85:D97)</f>
        <v>0</v>
      </c>
      <c r="E84" s="538">
        <f t="shared" si="24"/>
        <v>0</v>
      </c>
      <c r="F84" s="538">
        <f t="shared" si="24"/>
        <v>0</v>
      </c>
      <c r="G84" s="538" t="e">
        <f t="shared" si="24"/>
        <v>#REF!</v>
      </c>
      <c r="H84" s="538">
        <f t="shared" si="24"/>
        <v>0</v>
      </c>
      <c r="I84" s="538">
        <f t="shared" si="24"/>
        <v>0</v>
      </c>
      <c r="J84" s="538">
        <f t="shared" si="24"/>
        <v>2001572380</v>
      </c>
      <c r="K84" s="538">
        <f t="shared" si="24"/>
        <v>0</v>
      </c>
      <c r="L84" s="538">
        <f t="shared" si="24"/>
        <v>0</v>
      </c>
      <c r="M84" s="538">
        <f t="shared" si="24"/>
        <v>3139403190</v>
      </c>
      <c r="N84" s="538">
        <f t="shared" si="24"/>
        <v>0</v>
      </c>
      <c r="O84" s="538">
        <f t="shared" si="24"/>
        <v>0</v>
      </c>
      <c r="P84" s="538">
        <f t="shared" si="24"/>
        <v>0</v>
      </c>
      <c r="Q84" s="538">
        <f t="shared" si="24"/>
        <v>0</v>
      </c>
      <c r="R84" s="538">
        <f t="shared" si="24"/>
        <v>0</v>
      </c>
      <c r="S84" s="538">
        <f t="shared" si="24"/>
        <v>1024005095</v>
      </c>
      <c r="T84" s="538">
        <f t="shared" si="24"/>
        <v>0</v>
      </c>
      <c r="U84" s="538">
        <f t="shared" si="24"/>
        <v>0</v>
      </c>
      <c r="V84" s="538">
        <f t="shared" si="24"/>
        <v>720609367</v>
      </c>
      <c r="W84" s="538">
        <f t="shared" si="24"/>
        <v>0</v>
      </c>
      <c r="X84" s="538">
        <f t="shared" si="24"/>
        <v>0</v>
      </c>
      <c r="Y84" s="538">
        <f t="shared" si="24"/>
        <v>720609367</v>
      </c>
      <c r="Z84" s="538">
        <f t="shared" si="24"/>
        <v>0</v>
      </c>
      <c r="AA84" s="538">
        <f t="shared" si="24"/>
        <v>0</v>
      </c>
      <c r="AB84" s="538">
        <f t="shared" si="24"/>
        <v>427050077</v>
      </c>
      <c r="AC84" s="538">
        <f t="shared" si="24"/>
        <v>0</v>
      </c>
      <c r="AD84" s="538">
        <f t="shared" si="24"/>
        <v>0</v>
      </c>
      <c r="AE84" s="539">
        <f>SUM(AE85:AE97)</f>
        <v>720609367</v>
      </c>
    </row>
    <row r="85" spans="1:31" ht="18.75" customHeight="1">
      <c r="A85" s="545" t="s">
        <v>659</v>
      </c>
      <c r="B85" s="546" t="s">
        <v>102</v>
      </c>
      <c r="C85" s="547">
        <f aca="true" t="shared" si="25" ref="C85:D97">E85+H85+K85+N85+Q85+T85+W85+Z85+AC85</f>
        <v>0</v>
      </c>
      <c r="D85" s="547">
        <f t="shared" si="25"/>
        <v>0</v>
      </c>
      <c r="E85" s="552"/>
      <c r="F85" s="552"/>
      <c r="G85" s="547" t="e">
        <f>#REF!+#REF!</f>
        <v>#REF!</v>
      </c>
      <c r="H85" s="538"/>
      <c r="I85" s="551"/>
      <c r="J85" s="547"/>
      <c r="K85" s="538"/>
      <c r="L85" s="551"/>
      <c r="M85" s="547"/>
      <c r="N85" s="538"/>
      <c r="O85" s="551"/>
      <c r="P85" s="548"/>
      <c r="Q85" s="538"/>
      <c r="R85" s="551"/>
      <c r="S85" s="547"/>
      <c r="T85" s="538"/>
      <c r="U85" s="551"/>
      <c r="V85" s="547"/>
      <c r="W85" s="538"/>
      <c r="X85" s="551"/>
      <c r="Y85" s="549"/>
      <c r="Z85" s="538"/>
      <c r="AA85" s="551"/>
      <c r="AB85" s="549"/>
      <c r="AC85" s="538"/>
      <c r="AD85" s="551"/>
      <c r="AE85" s="549"/>
    </row>
    <row r="86" spans="1:31" ht="18.75" customHeight="1">
      <c r="A86" s="545" t="s">
        <v>660</v>
      </c>
      <c r="B86" s="546" t="s">
        <v>103</v>
      </c>
      <c r="C86" s="547">
        <f t="shared" si="25"/>
        <v>0</v>
      </c>
      <c r="D86" s="547">
        <f t="shared" si="25"/>
        <v>0</v>
      </c>
      <c r="E86" s="552"/>
      <c r="F86" s="552"/>
      <c r="G86" s="547" t="e">
        <f>#REF!+#REF!</f>
        <v>#REF!</v>
      </c>
      <c r="H86" s="538"/>
      <c r="I86" s="551"/>
      <c r="J86" s="547"/>
      <c r="K86" s="538"/>
      <c r="L86" s="551"/>
      <c r="M86" s="547"/>
      <c r="N86" s="538"/>
      <c r="O86" s="551"/>
      <c r="P86" s="548"/>
      <c r="Q86" s="538"/>
      <c r="R86" s="551"/>
      <c r="S86" s="547"/>
      <c r="T86" s="538"/>
      <c r="U86" s="551"/>
      <c r="V86" s="547"/>
      <c r="W86" s="538"/>
      <c r="X86" s="551"/>
      <c r="Y86" s="549"/>
      <c r="Z86" s="538"/>
      <c r="AA86" s="551"/>
      <c r="AB86" s="549"/>
      <c r="AC86" s="538"/>
      <c r="AD86" s="551"/>
      <c r="AE86" s="549"/>
    </row>
    <row r="87" spans="1:31" ht="18.75" customHeight="1">
      <c r="A87" s="545" t="s">
        <v>661</v>
      </c>
      <c r="B87" s="546" t="s">
        <v>104</v>
      </c>
      <c r="C87" s="547">
        <f t="shared" si="25"/>
        <v>0</v>
      </c>
      <c r="D87" s="547">
        <f t="shared" si="25"/>
        <v>0</v>
      </c>
      <c r="E87" s="552"/>
      <c r="F87" s="552"/>
      <c r="G87" s="547" t="e">
        <f>#REF!+#REF!</f>
        <v>#REF!</v>
      </c>
      <c r="H87" s="551"/>
      <c r="I87" s="551"/>
      <c r="J87" s="547">
        <v>1020120000</v>
      </c>
      <c r="K87" s="551"/>
      <c r="L87" s="551"/>
      <c r="M87" s="547">
        <v>1014472519</v>
      </c>
      <c r="N87" s="551"/>
      <c r="O87" s="551"/>
      <c r="P87" s="548"/>
      <c r="Q87" s="551"/>
      <c r="R87" s="551"/>
      <c r="S87" s="547">
        <v>697867000</v>
      </c>
      <c r="T87" s="551"/>
      <c r="U87" s="551"/>
      <c r="V87" s="547">
        <v>231464200</v>
      </c>
      <c r="W87" s="551"/>
      <c r="X87" s="551"/>
      <c r="Y87" s="549">
        <v>231464200</v>
      </c>
      <c r="Z87" s="551"/>
      <c r="AA87" s="551"/>
      <c r="AB87" s="549">
        <v>231464200</v>
      </c>
      <c r="AC87" s="551"/>
      <c r="AD87" s="551"/>
      <c r="AE87" s="549">
        <v>231464200</v>
      </c>
    </row>
    <row r="88" spans="1:31" ht="18.75" customHeight="1">
      <c r="A88" s="545" t="s">
        <v>662</v>
      </c>
      <c r="B88" s="546" t="s">
        <v>663</v>
      </c>
      <c r="C88" s="547">
        <f t="shared" si="25"/>
        <v>0</v>
      </c>
      <c r="D88" s="547">
        <f t="shared" si="25"/>
        <v>0</v>
      </c>
      <c r="E88" s="552"/>
      <c r="F88" s="552"/>
      <c r="G88" s="547"/>
      <c r="H88" s="551"/>
      <c r="I88" s="551"/>
      <c r="J88" s="547">
        <v>50250000</v>
      </c>
      <c r="K88" s="551"/>
      <c r="L88" s="551"/>
      <c r="M88" s="547"/>
      <c r="N88" s="551"/>
      <c r="O88" s="551"/>
      <c r="P88" s="548"/>
      <c r="Q88" s="551"/>
      <c r="R88" s="551"/>
      <c r="S88" s="547"/>
      <c r="T88" s="551"/>
      <c r="U88" s="551"/>
      <c r="V88" s="547"/>
      <c r="W88" s="551"/>
      <c r="X88" s="551"/>
      <c r="Y88" s="549"/>
      <c r="Z88" s="551"/>
      <c r="AA88" s="551"/>
      <c r="AB88" s="549"/>
      <c r="AC88" s="551"/>
      <c r="AD88" s="551"/>
      <c r="AE88" s="549"/>
    </row>
    <row r="89" spans="1:31" ht="18.75" customHeight="1">
      <c r="A89" s="545" t="s">
        <v>664</v>
      </c>
      <c r="B89" s="546" t="s">
        <v>105</v>
      </c>
      <c r="C89" s="547">
        <f t="shared" si="25"/>
        <v>0</v>
      </c>
      <c r="D89" s="547">
        <f t="shared" si="25"/>
        <v>0</v>
      </c>
      <c r="E89" s="552"/>
      <c r="F89" s="552"/>
      <c r="G89" s="547" t="e">
        <f>#REF!+#REF!</f>
        <v>#REF!</v>
      </c>
      <c r="H89" s="538"/>
      <c r="I89" s="551"/>
      <c r="J89" s="547">
        <v>59946800</v>
      </c>
      <c r="K89" s="538"/>
      <c r="L89" s="551"/>
      <c r="M89" s="547">
        <v>1205945500</v>
      </c>
      <c r="N89" s="538"/>
      <c r="O89" s="551"/>
      <c r="P89" s="548"/>
      <c r="Q89" s="538"/>
      <c r="R89" s="551"/>
      <c r="S89" s="547">
        <v>14845000</v>
      </c>
      <c r="T89" s="538"/>
      <c r="U89" s="551"/>
      <c r="V89" s="547">
        <v>93384000</v>
      </c>
      <c r="W89" s="538"/>
      <c r="X89" s="551"/>
      <c r="Y89" s="549">
        <v>93384000</v>
      </c>
      <c r="Z89" s="538"/>
      <c r="AA89" s="551"/>
      <c r="AB89" s="549">
        <v>93384000</v>
      </c>
      <c r="AC89" s="538"/>
      <c r="AD89" s="551"/>
      <c r="AE89" s="549">
        <v>93384000</v>
      </c>
    </row>
    <row r="90" spans="1:31" ht="18.75" customHeight="1">
      <c r="A90" s="545" t="s">
        <v>665</v>
      </c>
      <c r="B90" s="546" t="s">
        <v>106</v>
      </c>
      <c r="C90" s="547">
        <f t="shared" si="25"/>
        <v>0</v>
      </c>
      <c r="D90" s="547">
        <f t="shared" si="25"/>
        <v>0</v>
      </c>
      <c r="E90" s="552"/>
      <c r="F90" s="552"/>
      <c r="G90" s="547" t="e">
        <f>#REF!+#REF!</f>
        <v>#REF!</v>
      </c>
      <c r="H90" s="538"/>
      <c r="I90" s="551"/>
      <c r="J90" s="547"/>
      <c r="K90" s="538"/>
      <c r="L90" s="551"/>
      <c r="M90" s="547"/>
      <c r="N90" s="538"/>
      <c r="O90" s="551"/>
      <c r="P90" s="548"/>
      <c r="Q90" s="538"/>
      <c r="R90" s="551"/>
      <c r="S90" s="547"/>
      <c r="T90" s="538"/>
      <c r="U90" s="551"/>
      <c r="V90" s="547"/>
      <c r="W90" s="538"/>
      <c r="X90" s="551"/>
      <c r="Y90" s="549"/>
      <c r="Z90" s="538"/>
      <c r="AA90" s="551"/>
      <c r="AB90" s="549"/>
      <c r="AC90" s="538"/>
      <c r="AD90" s="551"/>
      <c r="AE90" s="549"/>
    </row>
    <row r="91" spans="1:31" ht="18.75" customHeight="1">
      <c r="A91" s="545" t="s">
        <v>666</v>
      </c>
      <c r="B91" s="546" t="s">
        <v>107</v>
      </c>
      <c r="C91" s="547">
        <f t="shared" si="25"/>
        <v>0</v>
      </c>
      <c r="D91" s="547">
        <f t="shared" si="25"/>
        <v>0</v>
      </c>
      <c r="E91" s="552"/>
      <c r="F91" s="552"/>
      <c r="G91" s="547" t="e">
        <f>#REF!+#REF!</f>
        <v>#REF!</v>
      </c>
      <c r="H91" s="538"/>
      <c r="I91" s="551"/>
      <c r="J91" s="547">
        <v>6500000</v>
      </c>
      <c r="K91" s="538"/>
      <c r="L91" s="551"/>
      <c r="M91" s="547">
        <v>67360000</v>
      </c>
      <c r="N91" s="538"/>
      <c r="O91" s="551"/>
      <c r="P91" s="548"/>
      <c r="Q91" s="538"/>
      <c r="R91" s="551"/>
      <c r="S91" s="547">
        <v>11000000</v>
      </c>
      <c r="T91" s="538"/>
      <c r="U91" s="551"/>
      <c r="V91" s="547">
        <v>5100000</v>
      </c>
      <c r="W91" s="538"/>
      <c r="X91" s="551"/>
      <c r="Y91" s="549">
        <v>5100000</v>
      </c>
      <c r="Z91" s="538"/>
      <c r="AA91" s="551"/>
      <c r="AB91" s="551">
        <v>6613700</v>
      </c>
      <c r="AC91" s="538"/>
      <c r="AD91" s="551"/>
      <c r="AE91" s="549">
        <v>5100000</v>
      </c>
    </row>
    <row r="92" spans="1:31" ht="18.75" customHeight="1">
      <c r="A92" s="545" t="s">
        <v>667</v>
      </c>
      <c r="B92" s="546" t="s">
        <v>108</v>
      </c>
      <c r="C92" s="547">
        <f t="shared" si="25"/>
        <v>0</v>
      </c>
      <c r="D92" s="547">
        <f t="shared" si="25"/>
        <v>0</v>
      </c>
      <c r="E92" s="552"/>
      <c r="F92" s="552"/>
      <c r="G92" s="547" t="e">
        <f>#REF!+#REF!</f>
        <v>#REF!</v>
      </c>
      <c r="H92" s="552"/>
      <c r="I92" s="551"/>
      <c r="J92" s="547">
        <v>66245000</v>
      </c>
      <c r="K92" s="552"/>
      <c r="L92" s="551"/>
      <c r="M92" s="547">
        <v>62000000</v>
      </c>
      <c r="N92" s="552"/>
      <c r="O92" s="551"/>
      <c r="P92" s="548"/>
      <c r="Q92" s="552"/>
      <c r="R92" s="551"/>
      <c r="S92" s="547"/>
      <c r="T92" s="552"/>
      <c r="U92" s="551"/>
      <c r="V92" s="547">
        <v>30000000</v>
      </c>
      <c r="W92" s="552"/>
      <c r="X92" s="551"/>
      <c r="Y92" s="549">
        <v>30000000</v>
      </c>
      <c r="Z92" s="552"/>
      <c r="AA92" s="551"/>
      <c r="AB92" s="551"/>
      <c r="AC92" s="552"/>
      <c r="AD92" s="551"/>
      <c r="AE92" s="549">
        <v>30000000</v>
      </c>
    </row>
    <row r="93" spans="1:31" ht="18.75" customHeight="1">
      <c r="A93" s="545" t="s">
        <v>668</v>
      </c>
      <c r="B93" s="546" t="s">
        <v>96</v>
      </c>
      <c r="C93" s="547">
        <f t="shared" si="25"/>
        <v>0</v>
      </c>
      <c r="D93" s="547">
        <f t="shared" si="25"/>
        <v>0</v>
      </c>
      <c r="E93" s="552"/>
      <c r="F93" s="552"/>
      <c r="G93" s="547" t="e">
        <f>#REF!+#REF!</f>
        <v>#REF!</v>
      </c>
      <c r="H93" s="552"/>
      <c r="I93" s="551"/>
      <c r="J93" s="547"/>
      <c r="K93" s="552"/>
      <c r="L93" s="551"/>
      <c r="M93" s="547"/>
      <c r="N93" s="552"/>
      <c r="O93" s="551"/>
      <c r="P93" s="548"/>
      <c r="Q93" s="552"/>
      <c r="R93" s="551"/>
      <c r="S93" s="547"/>
      <c r="T93" s="552"/>
      <c r="U93" s="551"/>
      <c r="V93" s="547"/>
      <c r="W93" s="552"/>
      <c r="X93" s="551"/>
      <c r="Y93" s="549"/>
      <c r="Z93" s="552"/>
      <c r="AA93" s="551"/>
      <c r="AB93" s="551"/>
      <c r="AC93" s="552"/>
      <c r="AD93" s="551"/>
      <c r="AE93" s="549"/>
    </row>
    <row r="94" spans="1:31" ht="18.75" customHeight="1">
      <c r="A94" s="545" t="s">
        <v>669</v>
      </c>
      <c r="B94" s="546" t="s">
        <v>109</v>
      </c>
      <c r="C94" s="547">
        <f t="shared" si="25"/>
        <v>0</v>
      </c>
      <c r="D94" s="547">
        <f t="shared" si="25"/>
        <v>0</v>
      </c>
      <c r="E94" s="552"/>
      <c r="F94" s="552"/>
      <c r="G94" s="547" t="e">
        <f>#REF!+#REF!</f>
        <v>#REF!</v>
      </c>
      <c r="H94" s="552"/>
      <c r="I94" s="551"/>
      <c r="J94" s="547"/>
      <c r="K94" s="552"/>
      <c r="L94" s="551"/>
      <c r="M94" s="547">
        <v>84000000</v>
      </c>
      <c r="N94" s="552"/>
      <c r="O94" s="551"/>
      <c r="P94" s="548"/>
      <c r="Q94" s="552"/>
      <c r="R94" s="551"/>
      <c r="S94" s="547">
        <v>42750103</v>
      </c>
      <c r="T94" s="552"/>
      <c r="U94" s="551"/>
      <c r="V94" s="547"/>
      <c r="W94" s="552"/>
      <c r="X94" s="551"/>
      <c r="Y94" s="549"/>
      <c r="Z94" s="552"/>
      <c r="AA94" s="551"/>
      <c r="AB94" s="551">
        <v>60833552</v>
      </c>
      <c r="AC94" s="552"/>
      <c r="AD94" s="551"/>
      <c r="AE94" s="549"/>
    </row>
    <row r="95" spans="1:31" ht="18.75" customHeight="1">
      <c r="A95" s="545" t="s">
        <v>670</v>
      </c>
      <c r="B95" s="546" t="s">
        <v>671</v>
      </c>
      <c r="C95" s="547">
        <f t="shared" si="25"/>
        <v>0</v>
      </c>
      <c r="D95" s="547">
        <f t="shared" si="25"/>
        <v>0</v>
      </c>
      <c r="E95" s="552"/>
      <c r="F95" s="552"/>
      <c r="G95" s="547" t="e">
        <f>#REF!+#REF!</f>
        <v>#REF!</v>
      </c>
      <c r="H95" s="552"/>
      <c r="I95" s="551"/>
      <c r="J95" s="547"/>
      <c r="K95" s="552"/>
      <c r="L95" s="551"/>
      <c r="M95" s="547"/>
      <c r="N95" s="552"/>
      <c r="O95" s="551"/>
      <c r="P95" s="548"/>
      <c r="Q95" s="552"/>
      <c r="R95" s="551"/>
      <c r="S95" s="547"/>
      <c r="T95" s="552"/>
      <c r="U95" s="551"/>
      <c r="V95" s="547"/>
      <c r="W95" s="552"/>
      <c r="X95" s="551"/>
      <c r="Y95" s="549"/>
      <c r="Z95" s="552"/>
      <c r="AA95" s="551"/>
      <c r="AB95" s="551"/>
      <c r="AC95" s="552"/>
      <c r="AD95" s="551"/>
      <c r="AE95" s="549"/>
    </row>
    <row r="96" spans="1:31" ht="26.25">
      <c r="A96" s="545" t="s">
        <v>672</v>
      </c>
      <c r="B96" s="553" t="s">
        <v>673</v>
      </c>
      <c r="C96" s="547">
        <f t="shared" si="25"/>
        <v>0</v>
      </c>
      <c r="D96" s="547">
        <f t="shared" si="25"/>
        <v>0</v>
      </c>
      <c r="E96" s="552"/>
      <c r="F96" s="552"/>
      <c r="G96" s="547" t="e">
        <f>#REF!+#REF!</f>
        <v>#REF!</v>
      </c>
      <c r="H96" s="552"/>
      <c r="I96" s="551"/>
      <c r="J96" s="547"/>
      <c r="K96" s="552"/>
      <c r="L96" s="551"/>
      <c r="M96" s="547"/>
      <c r="N96" s="552"/>
      <c r="O96" s="551"/>
      <c r="P96" s="548"/>
      <c r="Q96" s="552"/>
      <c r="R96" s="551"/>
      <c r="S96" s="547"/>
      <c r="T96" s="552"/>
      <c r="U96" s="551"/>
      <c r="V96" s="547"/>
      <c r="W96" s="552"/>
      <c r="X96" s="551"/>
      <c r="Y96" s="549"/>
      <c r="Z96" s="552"/>
      <c r="AA96" s="551"/>
      <c r="AB96" s="551"/>
      <c r="AC96" s="552"/>
      <c r="AD96" s="551"/>
      <c r="AE96" s="549"/>
    </row>
    <row r="97" spans="1:31" ht="18.75" customHeight="1">
      <c r="A97" s="545" t="s">
        <v>674</v>
      </c>
      <c r="B97" s="546" t="s">
        <v>110</v>
      </c>
      <c r="C97" s="547">
        <f t="shared" si="25"/>
        <v>0</v>
      </c>
      <c r="D97" s="547">
        <f t="shared" si="25"/>
        <v>0</v>
      </c>
      <c r="E97" s="552"/>
      <c r="F97" s="552"/>
      <c r="G97" s="547" t="e">
        <f>#REF!+#REF!</f>
        <v>#REF!</v>
      </c>
      <c r="H97" s="551"/>
      <c r="I97" s="551"/>
      <c r="J97" s="547">
        <v>798510580</v>
      </c>
      <c r="K97" s="551"/>
      <c r="L97" s="551"/>
      <c r="M97" s="547">
        <v>705625171</v>
      </c>
      <c r="N97" s="551"/>
      <c r="O97" s="551"/>
      <c r="P97" s="548"/>
      <c r="Q97" s="551"/>
      <c r="R97" s="551"/>
      <c r="S97" s="547">
        <f>1924839+255618153</f>
        <v>257542992</v>
      </c>
      <c r="T97" s="551"/>
      <c r="U97" s="551"/>
      <c r="V97" s="547">
        <v>360661167</v>
      </c>
      <c r="W97" s="551"/>
      <c r="X97" s="551"/>
      <c r="Y97" s="549">
        <v>360661167</v>
      </c>
      <c r="Z97" s="551"/>
      <c r="AA97" s="551"/>
      <c r="AB97" s="551">
        <v>34754625</v>
      </c>
      <c r="AC97" s="551"/>
      <c r="AD97" s="551"/>
      <c r="AE97" s="549">
        <v>360661167</v>
      </c>
    </row>
    <row r="98" spans="1:31" s="535" customFormat="1" ht="18.75" customHeight="1">
      <c r="A98" s="536" t="s">
        <v>111</v>
      </c>
      <c r="B98" s="537" t="s">
        <v>112</v>
      </c>
      <c r="C98" s="538">
        <f>SUM(C99:C102)</f>
        <v>0</v>
      </c>
      <c r="D98" s="538">
        <f>SUM(D99:D102)</f>
        <v>0</v>
      </c>
      <c r="E98" s="538">
        <f>SUM(E99:E102)</f>
        <v>0</v>
      </c>
      <c r="F98" s="538">
        <f>SUM(F99:F102)</f>
        <v>0</v>
      </c>
      <c r="G98" s="538" t="e">
        <f>SUM(G99:G102)</f>
        <v>#REF!</v>
      </c>
      <c r="H98" s="538"/>
      <c r="I98" s="538"/>
      <c r="J98" s="538">
        <f>SUM(J99:J102)</f>
        <v>0</v>
      </c>
      <c r="K98" s="538"/>
      <c r="L98" s="538"/>
      <c r="M98" s="538">
        <f>SUM(M99:M102)</f>
        <v>0</v>
      </c>
      <c r="N98" s="538"/>
      <c r="O98" s="538"/>
      <c r="P98" s="538">
        <f>SUM(P99:P102)</f>
        <v>0</v>
      </c>
      <c r="Q98" s="538"/>
      <c r="R98" s="538"/>
      <c r="S98" s="538">
        <f>SUM(S99:S102)</f>
        <v>166425531378</v>
      </c>
      <c r="T98" s="538"/>
      <c r="U98" s="538"/>
      <c r="V98" s="538">
        <f>SUM(V99:V102)</f>
        <v>0</v>
      </c>
      <c r="W98" s="538"/>
      <c r="X98" s="538"/>
      <c r="Y98" s="539">
        <f>SUM(Y99:Y102)</f>
        <v>0</v>
      </c>
      <c r="Z98" s="538"/>
      <c r="AA98" s="538"/>
      <c r="AB98" s="539">
        <f>SUM(AB99:AB102)</f>
        <v>0</v>
      </c>
      <c r="AC98" s="538"/>
      <c r="AD98" s="538"/>
      <c r="AE98" s="539">
        <f>SUM(AE99:AE102)</f>
        <v>0</v>
      </c>
    </row>
    <row r="99" spans="1:31" ht="18.75" customHeight="1">
      <c r="A99" s="545" t="s">
        <v>20</v>
      </c>
      <c r="B99" s="546" t="s">
        <v>113</v>
      </c>
      <c r="C99" s="547">
        <f aca="true" t="shared" si="26" ref="C99:D106">E99+H99+K99+N99+Q99+T99+W99+Z99+AC99</f>
        <v>0</v>
      </c>
      <c r="D99" s="547">
        <f t="shared" si="26"/>
        <v>0</v>
      </c>
      <c r="E99" s="547"/>
      <c r="F99" s="547"/>
      <c r="G99" s="547" t="e">
        <f>#REF!+#REF!</f>
        <v>#REF!</v>
      </c>
      <c r="H99" s="547"/>
      <c r="I99" s="547"/>
      <c r="J99" s="547"/>
      <c r="K99" s="547"/>
      <c r="L99" s="547"/>
      <c r="M99" s="547"/>
      <c r="N99" s="547"/>
      <c r="O99" s="547"/>
      <c r="P99" s="548"/>
      <c r="Q99" s="547"/>
      <c r="R99" s="547"/>
      <c r="S99" s="547">
        <v>4146334850</v>
      </c>
      <c r="T99" s="547"/>
      <c r="U99" s="547"/>
      <c r="V99" s="547"/>
      <c r="W99" s="547"/>
      <c r="X99" s="547"/>
      <c r="Y99" s="549"/>
      <c r="Z99" s="547"/>
      <c r="AA99" s="547"/>
      <c r="AB99" s="549"/>
      <c r="AC99" s="547"/>
      <c r="AD99" s="547"/>
      <c r="AE99" s="549"/>
    </row>
    <row r="100" spans="1:31" ht="18.75" customHeight="1">
      <c r="A100" s="545" t="s">
        <v>47</v>
      </c>
      <c r="B100" s="546" t="s">
        <v>114</v>
      </c>
      <c r="C100" s="547">
        <f t="shared" si="26"/>
        <v>0</v>
      </c>
      <c r="D100" s="547">
        <f t="shared" si="26"/>
        <v>0</v>
      </c>
      <c r="E100" s="547"/>
      <c r="F100" s="547"/>
      <c r="G100" s="547" t="e">
        <f>#REF!+#REF!</f>
        <v>#REF!</v>
      </c>
      <c r="H100" s="547"/>
      <c r="I100" s="547"/>
      <c r="J100" s="547"/>
      <c r="K100" s="547"/>
      <c r="L100" s="547"/>
      <c r="M100" s="547"/>
      <c r="N100" s="547"/>
      <c r="O100" s="547"/>
      <c r="P100" s="548"/>
      <c r="Q100" s="547"/>
      <c r="R100" s="547"/>
      <c r="S100" s="547">
        <v>4211293036</v>
      </c>
      <c r="T100" s="547"/>
      <c r="U100" s="547"/>
      <c r="V100" s="547"/>
      <c r="W100" s="547"/>
      <c r="X100" s="547"/>
      <c r="Y100" s="549"/>
      <c r="Z100" s="547"/>
      <c r="AA100" s="547"/>
      <c r="AB100" s="549"/>
      <c r="AC100" s="547"/>
      <c r="AD100" s="547"/>
      <c r="AE100" s="549"/>
    </row>
    <row r="101" spans="1:31" ht="18.75" customHeight="1">
      <c r="A101" s="545" t="s">
        <v>57</v>
      </c>
      <c r="B101" s="546" t="s">
        <v>115</v>
      </c>
      <c r="C101" s="547">
        <f t="shared" si="26"/>
        <v>0</v>
      </c>
      <c r="D101" s="547">
        <f t="shared" si="26"/>
        <v>0</v>
      </c>
      <c r="E101" s="547"/>
      <c r="F101" s="547"/>
      <c r="G101" s="547" t="e">
        <f>#REF!+#REF!</f>
        <v>#REF!</v>
      </c>
      <c r="H101" s="547"/>
      <c r="I101" s="547"/>
      <c r="J101" s="547"/>
      <c r="K101" s="547"/>
      <c r="L101" s="547"/>
      <c r="M101" s="547"/>
      <c r="N101" s="547"/>
      <c r="O101" s="547"/>
      <c r="P101" s="548"/>
      <c r="Q101" s="547"/>
      <c r="R101" s="547"/>
      <c r="S101" s="547"/>
      <c r="T101" s="547"/>
      <c r="U101" s="547"/>
      <c r="V101" s="547"/>
      <c r="W101" s="547"/>
      <c r="X101" s="547"/>
      <c r="Y101" s="549"/>
      <c r="Z101" s="547"/>
      <c r="AA101" s="547"/>
      <c r="AB101" s="549"/>
      <c r="AC101" s="547"/>
      <c r="AD101" s="547"/>
      <c r="AE101" s="549"/>
    </row>
    <row r="102" spans="1:31" ht="18.75" customHeight="1">
      <c r="A102" s="545" t="s">
        <v>75</v>
      </c>
      <c r="B102" s="546" t="s">
        <v>116</v>
      </c>
      <c r="C102" s="547">
        <f t="shared" si="26"/>
        <v>0</v>
      </c>
      <c r="D102" s="547">
        <f t="shared" si="26"/>
        <v>0</v>
      </c>
      <c r="E102" s="547"/>
      <c r="F102" s="547"/>
      <c r="G102" s="547" t="e">
        <f>#REF!+#REF!</f>
        <v>#REF!</v>
      </c>
      <c r="H102" s="547"/>
      <c r="I102" s="547"/>
      <c r="J102" s="547"/>
      <c r="K102" s="547"/>
      <c r="L102" s="547"/>
      <c r="M102" s="547"/>
      <c r="N102" s="547"/>
      <c r="O102" s="547"/>
      <c r="P102" s="548"/>
      <c r="Q102" s="547"/>
      <c r="R102" s="547"/>
      <c r="S102" s="547">
        <v>158067903492</v>
      </c>
      <c r="T102" s="547"/>
      <c r="U102" s="547"/>
      <c r="V102" s="547"/>
      <c r="W102" s="547"/>
      <c r="X102" s="547"/>
      <c r="Y102" s="549"/>
      <c r="Z102" s="547"/>
      <c r="AA102" s="547"/>
      <c r="AB102" s="549"/>
      <c r="AC102" s="547"/>
      <c r="AD102" s="547"/>
      <c r="AE102" s="549"/>
    </row>
    <row r="103" spans="1:31" s="535" customFormat="1" ht="18.75" customHeight="1">
      <c r="A103" s="536" t="s">
        <v>117</v>
      </c>
      <c r="B103" s="537" t="s">
        <v>118</v>
      </c>
      <c r="C103" s="538"/>
      <c r="D103" s="547">
        <f t="shared" si="26"/>
        <v>0</v>
      </c>
      <c r="E103" s="538"/>
      <c r="F103" s="538"/>
      <c r="G103" s="538">
        <f>'[6]Sheet1'!H98</f>
        <v>0</v>
      </c>
      <c r="H103" s="538"/>
      <c r="I103" s="538"/>
      <c r="J103" s="538">
        <f>'[6]Sheet1'!H98</f>
        <v>0</v>
      </c>
      <c r="K103" s="538"/>
      <c r="L103" s="538"/>
      <c r="M103" s="538">
        <f>'[6]Sheet1'!K98</f>
        <v>0</v>
      </c>
      <c r="N103" s="538"/>
      <c r="O103" s="538"/>
      <c r="P103" s="538">
        <f>'[6]Sheet1'!N98</f>
        <v>0</v>
      </c>
      <c r="Q103" s="538"/>
      <c r="R103" s="538"/>
      <c r="S103" s="538">
        <f>'[6]Sheet1'!Q98</f>
        <v>0</v>
      </c>
      <c r="T103" s="538"/>
      <c r="U103" s="538"/>
      <c r="V103" s="538">
        <f>'[6]Sheet1'!T98</f>
        <v>0</v>
      </c>
      <c r="W103" s="538"/>
      <c r="X103" s="538"/>
      <c r="Y103" s="539">
        <f>'[6]Sheet1'!W98</f>
        <v>0</v>
      </c>
      <c r="Z103" s="538"/>
      <c r="AA103" s="538"/>
      <c r="AB103" s="539">
        <f>'[6]Sheet1'!Z98</f>
        <v>0</v>
      </c>
      <c r="AC103" s="538"/>
      <c r="AD103" s="538"/>
      <c r="AE103" s="539">
        <f>'[6]Sheet1'!AC98</f>
        <v>0</v>
      </c>
    </row>
    <row r="104" spans="1:31" s="535" customFormat="1" ht="18.75" customHeight="1">
      <c r="A104" s="536" t="s">
        <v>119</v>
      </c>
      <c r="B104" s="537" t="s">
        <v>120</v>
      </c>
      <c r="C104" s="538"/>
      <c r="D104" s="547">
        <f t="shared" si="26"/>
        <v>0</v>
      </c>
      <c r="E104" s="538"/>
      <c r="F104" s="538"/>
      <c r="G104" s="538" t="e">
        <f>#REF!</f>
        <v>#REF!</v>
      </c>
      <c r="H104" s="538"/>
      <c r="I104" s="538"/>
      <c r="J104" s="538">
        <v>22555471952</v>
      </c>
      <c r="K104" s="538"/>
      <c r="L104" s="538"/>
      <c r="M104" s="538">
        <v>12305656699</v>
      </c>
      <c r="N104" s="538"/>
      <c r="O104" s="538"/>
      <c r="P104" s="538">
        <v>38874636369</v>
      </c>
      <c r="Q104" s="538"/>
      <c r="R104" s="538"/>
      <c r="S104" s="538">
        <v>35157699138</v>
      </c>
      <c r="T104" s="538"/>
      <c r="U104" s="538"/>
      <c r="V104" s="538">
        <v>2243557805</v>
      </c>
      <c r="W104" s="538"/>
      <c r="X104" s="538"/>
      <c r="Y104" s="539">
        <v>2243557805</v>
      </c>
      <c r="Z104" s="538"/>
      <c r="AA104" s="538"/>
      <c r="AB104" s="539">
        <v>2243557805</v>
      </c>
      <c r="AC104" s="538"/>
      <c r="AD104" s="538"/>
      <c r="AE104" s="539">
        <v>2243557805</v>
      </c>
    </row>
    <row r="105" spans="1:31" s="535" customFormat="1" ht="18.75" customHeight="1">
      <c r="A105" s="536" t="s">
        <v>121</v>
      </c>
      <c r="B105" s="537" t="s">
        <v>122</v>
      </c>
      <c r="C105" s="538"/>
      <c r="D105" s="547">
        <f t="shared" si="26"/>
        <v>0</v>
      </c>
      <c r="E105" s="538"/>
      <c r="F105" s="538"/>
      <c r="G105" s="538" t="e">
        <f>#REF!</f>
        <v>#REF!</v>
      </c>
      <c r="H105" s="538"/>
      <c r="I105" s="538"/>
      <c r="J105" s="538">
        <v>27049364045</v>
      </c>
      <c r="K105" s="538"/>
      <c r="L105" s="538"/>
      <c r="M105" s="538">
        <v>63789046241</v>
      </c>
      <c r="N105" s="538"/>
      <c r="O105" s="538"/>
      <c r="P105" s="538">
        <v>39154290212</v>
      </c>
      <c r="Q105" s="538"/>
      <c r="R105" s="538"/>
      <c r="S105" s="538">
        <v>47711963926</v>
      </c>
      <c r="T105" s="538"/>
      <c r="U105" s="538"/>
      <c r="V105" s="538">
        <v>11464463377</v>
      </c>
      <c r="W105" s="538"/>
      <c r="X105" s="538"/>
      <c r="Y105" s="539">
        <v>11464463377</v>
      </c>
      <c r="Z105" s="538"/>
      <c r="AA105" s="538"/>
      <c r="AB105" s="539">
        <v>11464463377</v>
      </c>
      <c r="AC105" s="538"/>
      <c r="AD105" s="538"/>
      <c r="AE105" s="539">
        <v>11464463377</v>
      </c>
    </row>
    <row r="106" spans="1:31" s="535" customFormat="1" ht="18.75" customHeight="1">
      <c r="A106" s="536" t="s">
        <v>123</v>
      </c>
      <c r="B106" s="537" t="s">
        <v>124</v>
      </c>
      <c r="C106" s="538"/>
      <c r="D106" s="547">
        <f t="shared" si="26"/>
        <v>0</v>
      </c>
      <c r="E106" s="538"/>
      <c r="F106" s="538">
        <f>'[6]PL08-B03'!G61</f>
        <v>0</v>
      </c>
      <c r="G106" s="538" t="e">
        <f>#REF!</f>
        <v>#REF!</v>
      </c>
      <c r="H106" s="538"/>
      <c r="I106" s="538"/>
      <c r="J106" s="538"/>
      <c r="K106" s="538"/>
      <c r="L106" s="538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538"/>
      <c r="X106" s="538"/>
      <c r="Y106" s="539"/>
      <c r="Z106" s="538"/>
      <c r="AA106" s="538"/>
      <c r="AB106" s="539"/>
      <c r="AC106" s="538"/>
      <c r="AD106" s="538"/>
      <c r="AE106" s="539"/>
    </row>
    <row r="107" spans="1:31" s="535" customFormat="1" ht="18.75" customHeight="1">
      <c r="A107" s="536" t="s">
        <v>14</v>
      </c>
      <c r="B107" s="537" t="s">
        <v>125</v>
      </c>
      <c r="C107" s="538">
        <f>C108+C109+C110+C111+C112+C113+C119+C120+C121+C122+C123+C124+C125</f>
        <v>0</v>
      </c>
      <c r="D107" s="538">
        <f aca="true" t="shared" si="27" ref="D107:AD107">D108+D109+D110+D111+D112+D113+D119+D120+D121+D122+D123+D124+D125</f>
        <v>0</v>
      </c>
      <c r="E107" s="538">
        <f t="shared" si="27"/>
        <v>27000000000</v>
      </c>
      <c r="F107" s="538">
        <f t="shared" si="27"/>
        <v>0</v>
      </c>
      <c r="G107" s="538" t="e">
        <f t="shared" si="27"/>
        <v>#REF!</v>
      </c>
      <c r="H107" s="538">
        <f t="shared" si="27"/>
        <v>0</v>
      </c>
      <c r="I107" s="538">
        <f t="shared" si="27"/>
        <v>0</v>
      </c>
      <c r="J107" s="538">
        <f t="shared" si="27"/>
        <v>0</v>
      </c>
      <c r="K107" s="538">
        <f t="shared" si="27"/>
        <v>0</v>
      </c>
      <c r="L107" s="538">
        <f t="shared" si="27"/>
        <v>0</v>
      </c>
      <c r="M107" s="538">
        <f t="shared" si="27"/>
        <v>807720000</v>
      </c>
      <c r="N107" s="538">
        <f t="shared" si="27"/>
        <v>0</v>
      </c>
      <c r="O107" s="538">
        <f t="shared" si="27"/>
        <v>0</v>
      </c>
      <c r="P107" s="538">
        <f t="shared" si="27"/>
        <v>15156207380</v>
      </c>
      <c r="Q107" s="538">
        <f t="shared" si="27"/>
        <v>0</v>
      </c>
      <c r="R107" s="538">
        <f t="shared" si="27"/>
        <v>0</v>
      </c>
      <c r="S107" s="538">
        <f t="shared" si="27"/>
        <v>13615175812</v>
      </c>
      <c r="T107" s="538">
        <f t="shared" si="27"/>
        <v>0</v>
      </c>
      <c r="U107" s="538">
        <f t="shared" si="27"/>
        <v>0</v>
      </c>
      <c r="V107" s="538">
        <f t="shared" si="27"/>
        <v>1931199390</v>
      </c>
      <c r="W107" s="538">
        <f t="shared" si="27"/>
        <v>0</v>
      </c>
      <c r="X107" s="538">
        <f t="shared" si="27"/>
        <v>0</v>
      </c>
      <c r="Y107" s="538">
        <f t="shared" si="27"/>
        <v>1931199390</v>
      </c>
      <c r="Z107" s="538">
        <f t="shared" si="27"/>
        <v>0</v>
      </c>
      <c r="AA107" s="538">
        <f t="shared" si="27"/>
        <v>0</v>
      </c>
      <c r="AB107" s="538">
        <f t="shared" si="27"/>
        <v>1931199390</v>
      </c>
      <c r="AC107" s="538">
        <f t="shared" si="27"/>
        <v>0</v>
      </c>
      <c r="AD107" s="538">
        <f t="shared" si="27"/>
        <v>0</v>
      </c>
      <c r="AE107" s="539">
        <f>SUM(AE108:AE125)</f>
        <v>9366506909</v>
      </c>
    </row>
    <row r="108" spans="1:31" ht="18.75" customHeight="1">
      <c r="A108" s="545" t="s">
        <v>20</v>
      </c>
      <c r="B108" s="546" t="s">
        <v>675</v>
      </c>
      <c r="C108" s="547"/>
      <c r="D108" s="547"/>
      <c r="E108" s="547"/>
      <c r="F108" s="547"/>
      <c r="G108" s="547" t="e">
        <f>#REF!+#REF!</f>
        <v>#REF!</v>
      </c>
      <c r="H108" s="547"/>
      <c r="I108" s="551"/>
      <c r="J108" s="547"/>
      <c r="K108" s="547"/>
      <c r="L108" s="551"/>
      <c r="M108" s="547">
        <v>807720000</v>
      </c>
      <c r="N108" s="547"/>
      <c r="O108" s="551"/>
      <c r="P108" s="548">
        <v>20850000</v>
      </c>
      <c r="Q108" s="547"/>
      <c r="R108" s="551"/>
      <c r="S108" s="547"/>
      <c r="T108" s="547"/>
      <c r="U108" s="551"/>
      <c r="V108" s="547">
        <v>1931199390</v>
      </c>
      <c r="W108" s="547"/>
      <c r="X108" s="551"/>
      <c r="Y108" s="549">
        <v>1931199390</v>
      </c>
      <c r="Z108" s="547"/>
      <c r="AA108" s="551"/>
      <c r="AB108" s="549">
        <v>1931199390</v>
      </c>
      <c r="AC108" s="547"/>
      <c r="AD108" s="551"/>
      <c r="AE108" s="549">
        <v>1931199390</v>
      </c>
    </row>
    <row r="109" spans="1:31" ht="18.75" customHeight="1">
      <c r="A109" s="545" t="s">
        <v>47</v>
      </c>
      <c r="B109" s="546" t="s">
        <v>126</v>
      </c>
      <c r="C109" s="547"/>
      <c r="D109" s="547"/>
      <c r="E109" s="547"/>
      <c r="F109" s="547"/>
      <c r="G109" s="547" t="e">
        <f>#REF!+#REF!</f>
        <v>#REF!</v>
      </c>
      <c r="H109" s="547"/>
      <c r="I109" s="551"/>
      <c r="J109" s="547"/>
      <c r="K109" s="547"/>
      <c r="L109" s="551"/>
      <c r="M109" s="547"/>
      <c r="N109" s="547"/>
      <c r="O109" s="551"/>
      <c r="P109" s="548"/>
      <c r="Q109" s="547"/>
      <c r="R109" s="551"/>
      <c r="S109" s="547">
        <v>84690000</v>
      </c>
      <c r="T109" s="547"/>
      <c r="U109" s="551"/>
      <c r="V109" s="547"/>
      <c r="W109" s="547"/>
      <c r="X109" s="551"/>
      <c r="Y109" s="549"/>
      <c r="Z109" s="547"/>
      <c r="AA109" s="551"/>
      <c r="AB109" s="549"/>
      <c r="AC109" s="547"/>
      <c r="AD109" s="551"/>
      <c r="AE109" s="549">
        <v>2331794000</v>
      </c>
    </row>
    <row r="110" spans="1:31" ht="18.75" customHeight="1">
      <c r="A110" s="545" t="s">
        <v>57</v>
      </c>
      <c r="B110" s="546" t="s">
        <v>676</v>
      </c>
      <c r="C110" s="547"/>
      <c r="D110" s="547"/>
      <c r="E110" s="547"/>
      <c r="F110" s="547"/>
      <c r="G110" s="547" t="e">
        <f>#REF!+#REF!</f>
        <v>#REF!</v>
      </c>
      <c r="H110" s="547"/>
      <c r="I110" s="551"/>
      <c r="J110" s="547"/>
      <c r="K110" s="547"/>
      <c r="L110" s="551"/>
      <c r="M110" s="547"/>
      <c r="N110" s="547"/>
      <c r="O110" s="551"/>
      <c r="P110" s="548"/>
      <c r="Q110" s="547"/>
      <c r="R110" s="551"/>
      <c r="S110" s="547"/>
      <c r="T110" s="547"/>
      <c r="U110" s="551"/>
      <c r="V110" s="547"/>
      <c r="W110" s="547"/>
      <c r="X110" s="551"/>
      <c r="Y110" s="549"/>
      <c r="Z110" s="547"/>
      <c r="AA110" s="551"/>
      <c r="AB110" s="549"/>
      <c r="AC110" s="547"/>
      <c r="AD110" s="551"/>
      <c r="AE110" s="549"/>
    </row>
    <row r="111" spans="1:31" ht="18.75" customHeight="1">
      <c r="A111" s="545" t="s">
        <v>75</v>
      </c>
      <c r="B111" s="546" t="s">
        <v>127</v>
      </c>
      <c r="C111" s="547"/>
      <c r="D111" s="547"/>
      <c r="E111" s="547"/>
      <c r="F111" s="547"/>
      <c r="G111" s="547" t="e">
        <f>#REF!+#REF!</f>
        <v>#REF!</v>
      </c>
      <c r="H111" s="547"/>
      <c r="I111" s="551"/>
      <c r="J111" s="547"/>
      <c r="K111" s="547"/>
      <c r="L111" s="551"/>
      <c r="M111" s="547"/>
      <c r="N111" s="547"/>
      <c r="O111" s="551"/>
      <c r="P111" s="548"/>
      <c r="Q111" s="547"/>
      <c r="R111" s="551"/>
      <c r="S111" s="547"/>
      <c r="T111" s="547"/>
      <c r="U111" s="551"/>
      <c r="V111" s="547"/>
      <c r="W111" s="547"/>
      <c r="X111" s="551"/>
      <c r="Y111" s="549"/>
      <c r="Z111" s="547"/>
      <c r="AA111" s="551"/>
      <c r="AB111" s="549"/>
      <c r="AC111" s="547"/>
      <c r="AD111" s="551"/>
      <c r="AE111" s="549"/>
    </row>
    <row r="112" spans="1:31" ht="18.75" customHeight="1">
      <c r="A112" s="545" t="s">
        <v>76</v>
      </c>
      <c r="B112" s="546" t="s">
        <v>677</v>
      </c>
      <c r="C112" s="547"/>
      <c r="D112" s="547"/>
      <c r="E112" s="547"/>
      <c r="F112" s="547"/>
      <c r="G112" s="547" t="e">
        <f>#REF!+#REF!</f>
        <v>#REF!</v>
      </c>
      <c r="H112" s="547"/>
      <c r="I112" s="551"/>
      <c r="J112" s="547"/>
      <c r="K112" s="547"/>
      <c r="L112" s="551"/>
      <c r="M112" s="547"/>
      <c r="N112" s="547"/>
      <c r="O112" s="551"/>
      <c r="P112" s="548"/>
      <c r="Q112" s="547"/>
      <c r="R112" s="551"/>
      <c r="S112" s="547"/>
      <c r="T112" s="547"/>
      <c r="U112" s="551"/>
      <c r="V112" s="547"/>
      <c r="W112" s="547"/>
      <c r="X112" s="551"/>
      <c r="Y112" s="549"/>
      <c r="Z112" s="547"/>
      <c r="AA112" s="551"/>
      <c r="AB112" s="549"/>
      <c r="AC112" s="547"/>
      <c r="AD112" s="551"/>
      <c r="AE112" s="549"/>
    </row>
    <row r="113" spans="1:31" ht="18.75" customHeight="1">
      <c r="A113" s="545" t="s">
        <v>78</v>
      </c>
      <c r="B113" s="546" t="s">
        <v>649</v>
      </c>
      <c r="C113" s="547"/>
      <c r="D113" s="547"/>
      <c r="E113" s="547">
        <f>SUM(E114:E117)</f>
        <v>27000000000</v>
      </c>
      <c r="F113" s="547"/>
      <c r="G113" s="547" t="e">
        <f>#REF!+#REF!</f>
        <v>#REF!</v>
      </c>
      <c r="H113" s="547"/>
      <c r="I113" s="551"/>
      <c r="J113" s="547"/>
      <c r="K113" s="547"/>
      <c r="L113" s="551"/>
      <c r="M113" s="547"/>
      <c r="N113" s="547"/>
      <c r="O113" s="551"/>
      <c r="P113" s="548"/>
      <c r="Q113" s="547"/>
      <c r="R113" s="551"/>
      <c r="S113" s="547"/>
      <c r="T113" s="547"/>
      <c r="U113" s="551"/>
      <c r="V113" s="547"/>
      <c r="W113" s="547"/>
      <c r="X113" s="551"/>
      <c r="Y113" s="549"/>
      <c r="Z113" s="547"/>
      <c r="AA113" s="551"/>
      <c r="AB113" s="549"/>
      <c r="AC113" s="547"/>
      <c r="AD113" s="551"/>
      <c r="AE113" s="549"/>
    </row>
    <row r="114" spans="1:31" s="558" customFormat="1" ht="18.75" customHeight="1">
      <c r="A114" s="554" t="s">
        <v>678</v>
      </c>
      <c r="B114" s="555" t="s">
        <v>128</v>
      </c>
      <c r="C114" s="547"/>
      <c r="D114" s="547"/>
      <c r="E114" s="556">
        <v>10697000000</v>
      </c>
      <c r="F114" s="556"/>
      <c r="G114" s="556" t="e">
        <f>#REF!+#REF!</f>
        <v>#REF!</v>
      </c>
      <c r="H114" s="556"/>
      <c r="I114" s="551"/>
      <c r="J114" s="556"/>
      <c r="K114" s="556"/>
      <c r="L114" s="551"/>
      <c r="M114" s="556"/>
      <c r="N114" s="556"/>
      <c r="O114" s="551"/>
      <c r="P114" s="556"/>
      <c r="Q114" s="556"/>
      <c r="R114" s="551"/>
      <c r="S114" s="556"/>
      <c r="T114" s="556"/>
      <c r="U114" s="551"/>
      <c r="V114" s="556"/>
      <c r="W114" s="556"/>
      <c r="X114" s="551"/>
      <c r="Y114" s="557"/>
      <c r="Z114" s="556"/>
      <c r="AA114" s="551"/>
      <c r="AB114" s="557"/>
      <c r="AC114" s="556"/>
      <c r="AD114" s="551"/>
      <c r="AE114" s="557"/>
    </row>
    <row r="115" spans="1:31" s="558" customFormat="1" ht="18.75" customHeight="1">
      <c r="A115" s="554" t="s">
        <v>679</v>
      </c>
      <c r="B115" s="555" t="s">
        <v>129</v>
      </c>
      <c r="C115" s="547"/>
      <c r="D115" s="547"/>
      <c r="E115" s="556">
        <v>300000000</v>
      </c>
      <c r="F115" s="559"/>
      <c r="G115" s="556" t="e">
        <f>#REF!+#REF!</f>
        <v>#REF!</v>
      </c>
      <c r="H115" s="556"/>
      <c r="I115" s="551"/>
      <c r="J115" s="556"/>
      <c r="K115" s="556"/>
      <c r="L115" s="551"/>
      <c r="M115" s="556"/>
      <c r="N115" s="556"/>
      <c r="O115" s="551"/>
      <c r="P115" s="556"/>
      <c r="Q115" s="556"/>
      <c r="R115" s="551"/>
      <c r="S115" s="556"/>
      <c r="T115" s="556"/>
      <c r="U115" s="551"/>
      <c r="V115" s="556"/>
      <c r="W115" s="556"/>
      <c r="X115" s="551"/>
      <c r="Y115" s="557"/>
      <c r="Z115" s="556"/>
      <c r="AA115" s="551"/>
      <c r="AB115" s="557"/>
      <c r="AC115" s="556"/>
      <c r="AD115" s="551"/>
      <c r="AE115" s="557"/>
    </row>
    <row r="116" spans="1:31" s="558" customFormat="1" ht="18.75" customHeight="1">
      <c r="A116" s="554" t="s">
        <v>680</v>
      </c>
      <c r="B116" s="555" t="s">
        <v>30</v>
      </c>
      <c r="C116" s="547"/>
      <c r="D116" s="547"/>
      <c r="E116" s="556">
        <v>16000000000</v>
      </c>
      <c r="F116" s="556"/>
      <c r="G116" s="556" t="e">
        <f>#REF!+#REF!</f>
        <v>#REF!</v>
      </c>
      <c r="H116" s="556"/>
      <c r="I116" s="551"/>
      <c r="J116" s="556"/>
      <c r="K116" s="556"/>
      <c r="L116" s="551"/>
      <c r="M116" s="556"/>
      <c r="N116" s="556"/>
      <c r="O116" s="551"/>
      <c r="P116" s="556"/>
      <c r="Q116" s="556"/>
      <c r="R116" s="551"/>
      <c r="S116" s="556"/>
      <c r="T116" s="556"/>
      <c r="U116" s="551"/>
      <c r="V116" s="556"/>
      <c r="W116" s="556"/>
      <c r="X116" s="551"/>
      <c r="Y116" s="557"/>
      <c r="Z116" s="556"/>
      <c r="AA116" s="551"/>
      <c r="AB116" s="557"/>
      <c r="AC116" s="556"/>
      <c r="AD116" s="551"/>
      <c r="AE116" s="557"/>
    </row>
    <row r="117" spans="1:31" s="558" customFormat="1" ht="18.75" customHeight="1">
      <c r="A117" s="554" t="s">
        <v>681</v>
      </c>
      <c r="B117" s="555" t="s">
        <v>130</v>
      </c>
      <c r="C117" s="547"/>
      <c r="D117" s="547"/>
      <c r="E117" s="556">
        <v>3000000</v>
      </c>
      <c r="F117" s="556"/>
      <c r="G117" s="556" t="e">
        <f>#REF!+#REF!</f>
        <v>#REF!</v>
      </c>
      <c r="H117" s="556"/>
      <c r="I117" s="551"/>
      <c r="J117" s="556"/>
      <c r="K117" s="556"/>
      <c r="L117" s="551"/>
      <c r="M117" s="556"/>
      <c r="N117" s="556"/>
      <c r="O117" s="551"/>
      <c r="P117" s="556"/>
      <c r="Q117" s="556"/>
      <c r="R117" s="551"/>
      <c r="S117" s="556"/>
      <c r="T117" s="556"/>
      <c r="U117" s="551"/>
      <c r="V117" s="556"/>
      <c r="W117" s="556"/>
      <c r="X117" s="551"/>
      <c r="Y117" s="557"/>
      <c r="Z117" s="556"/>
      <c r="AA117" s="551"/>
      <c r="AB117" s="557"/>
      <c r="AC117" s="556"/>
      <c r="AD117" s="551"/>
      <c r="AE117" s="557"/>
    </row>
    <row r="118" spans="1:31" s="558" customFormat="1" ht="18.75" customHeight="1">
      <c r="A118" s="554" t="s">
        <v>682</v>
      </c>
      <c r="B118" s="555" t="s">
        <v>34</v>
      </c>
      <c r="C118" s="547"/>
      <c r="D118" s="547"/>
      <c r="E118" s="556"/>
      <c r="F118" s="556"/>
      <c r="G118" s="556" t="e">
        <f>#REF!+#REF!</f>
        <v>#REF!</v>
      </c>
      <c r="H118" s="556"/>
      <c r="I118" s="551"/>
      <c r="J118" s="556"/>
      <c r="K118" s="556"/>
      <c r="L118" s="551"/>
      <c r="M118" s="556"/>
      <c r="N118" s="556"/>
      <c r="O118" s="551"/>
      <c r="P118" s="556"/>
      <c r="Q118" s="556"/>
      <c r="R118" s="551"/>
      <c r="S118" s="556"/>
      <c r="T118" s="556"/>
      <c r="U118" s="551"/>
      <c r="V118" s="556"/>
      <c r="W118" s="556"/>
      <c r="X118" s="551"/>
      <c r="Y118" s="557"/>
      <c r="Z118" s="556"/>
      <c r="AA118" s="551"/>
      <c r="AB118" s="557"/>
      <c r="AC118" s="556"/>
      <c r="AD118" s="551"/>
      <c r="AE118" s="557"/>
    </row>
    <row r="119" spans="1:31" ht="18.75" customHeight="1">
      <c r="A119" s="545" t="s">
        <v>80</v>
      </c>
      <c r="B119" s="546" t="s">
        <v>683</v>
      </c>
      <c r="C119" s="547"/>
      <c r="D119" s="547"/>
      <c r="E119" s="547"/>
      <c r="F119" s="547"/>
      <c r="G119" s="547" t="e">
        <f>#REF!+#REF!</f>
        <v>#REF!</v>
      </c>
      <c r="H119" s="547"/>
      <c r="I119" s="551"/>
      <c r="J119" s="547"/>
      <c r="K119" s="547"/>
      <c r="L119" s="551"/>
      <c r="M119" s="547"/>
      <c r="N119" s="547"/>
      <c r="O119" s="551"/>
      <c r="P119" s="548"/>
      <c r="Q119" s="547"/>
      <c r="R119" s="551"/>
      <c r="S119" s="547">
        <v>1073499487</v>
      </c>
      <c r="T119" s="547"/>
      <c r="U119" s="551"/>
      <c r="V119" s="547"/>
      <c r="W119" s="547"/>
      <c r="X119" s="551"/>
      <c r="Y119" s="549"/>
      <c r="Z119" s="547"/>
      <c r="AA119" s="551"/>
      <c r="AB119" s="549"/>
      <c r="AC119" s="547"/>
      <c r="AD119" s="551"/>
      <c r="AE119" s="549">
        <v>206840619</v>
      </c>
    </row>
    <row r="120" spans="1:31" ht="18.75" customHeight="1">
      <c r="A120" s="545" t="s">
        <v>81</v>
      </c>
      <c r="B120" s="546" t="s">
        <v>684</v>
      </c>
      <c r="C120" s="547"/>
      <c r="D120" s="547"/>
      <c r="E120" s="547"/>
      <c r="F120" s="547"/>
      <c r="G120" s="547" t="e">
        <f>#REF!+#REF!</f>
        <v>#REF!</v>
      </c>
      <c r="H120" s="547"/>
      <c r="I120" s="551"/>
      <c r="J120" s="547"/>
      <c r="K120" s="547"/>
      <c r="L120" s="551"/>
      <c r="M120" s="547"/>
      <c r="N120" s="547"/>
      <c r="O120" s="551"/>
      <c r="P120" s="548"/>
      <c r="Q120" s="547"/>
      <c r="R120" s="551"/>
      <c r="S120" s="547"/>
      <c r="T120" s="547"/>
      <c r="U120" s="551"/>
      <c r="V120" s="547"/>
      <c r="W120" s="547"/>
      <c r="X120" s="551"/>
      <c r="Y120" s="549"/>
      <c r="Z120" s="547"/>
      <c r="AA120" s="551"/>
      <c r="AB120" s="549"/>
      <c r="AC120" s="547"/>
      <c r="AD120" s="551"/>
      <c r="AE120" s="549"/>
    </row>
    <row r="121" spans="1:31" ht="18.75" customHeight="1">
      <c r="A121" s="545" t="s">
        <v>86</v>
      </c>
      <c r="B121" s="546" t="s">
        <v>131</v>
      </c>
      <c r="C121" s="547"/>
      <c r="D121" s="547"/>
      <c r="E121" s="547"/>
      <c r="F121" s="547"/>
      <c r="G121" s="547" t="e">
        <f>#REF!+#REF!</f>
        <v>#REF!</v>
      </c>
      <c r="H121" s="547"/>
      <c r="I121" s="551"/>
      <c r="J121" s="547"/>
      <c r="K121" s="547"/>
      <c r="L121" s="551"/>
      <c r="M121" s="547"/>
      <c r="N121" s="547"/>
      <c r="O121" s="551"/>
      <c r="P121" s="548"/>
      <c r="Q121" s="547"/>
      <c r="R121" s="551"/>
      <c r="S121" s="547"/>
      <c r="T121" s="547"/>
      <c r="U121" s="551"/>
      <c r="V121" s="547"/>
      <c r="W121" s="547"/>
      <c r="X121" s="551"/>
      <c r="Y121" s="549"/>
      <c r="Z121" s="547"/>
      <c r="AA121" s="551"/>
      <c r="AB121" s="549"/>
      <c r="AC121" s="547"/>
      <c r="AD121" s="551"/>
      <c r="AE121" s="549"/>
    </row>
    <row r="122" spans="1:31" ht="18.75" customHeight="1">
      <c r="A122" s="545" t="s">
        <v>93</v>
      </c>
      <c r="B122" s="546" t="s">
        <v>132</v>
      </c>
      <c r="C122" s="547"/>
      <c r="D122" s="547"/>
      <c r="E122" s="547"/>
      <c r="F122" s="547"/>
      <c r="G122" s="547" t="e">
        <f>#REF!+#REF!</f>
        <v>#REF!</v>
      </c>
      <c r="H122" s="547"/>
      <c r="I122" s="551"/>
      <c r="J122" s="547"/>
      <c r="K122" s="547"/>
      <c r="L122" s="551"/>
      <c r="M122" s="547"/>
      <c r="N122" s="547"/>
      <c r="O122" s="551"/>
      <c r="P122" s="548"/>
      <c r="Q122" s="547"/>
      <c r="R122" s="551"/>
      <c r="S122" s="547">
        <v>11654269820</v>
      </c>
      <c r="T122" s="547"/>
      <c r="U122" s="551"/>
      <c r="V122" s="547"/>
      <c r="W122" s="547"/>
      <c r="X122" s="551"/>
      <c r="Y122" s="549"/>
      <c r="Z122" s="547"/>
      <c r="AA122" s="551"/>
      <c r="AB122" s="549"/>
      <c r="AC122" s="547"/>
      <c r="AD122" s="551"/>
      <c r="AE122" s="549">
        <v>4308143900</v>
      </c>
    </row>
    <row r="123" spans="1:31" ht="18.75" customHeight="1">
      <c r="A123" s="545" t="s">
        <v>657</v>
      </c>
      <c r="B123" s="546" t="s">
        <v>685</v>
      </c>
      <c r="C123" s="547"/>
      <c r="D123" s="547"/>
      <c r="E123" s="547"/>
      <c r="F123" s="547"/>
      <c r="G123" s="547" t="e">
        <f>#REF!+#REF!</f>
        <v>#REF!</v>
      </c>
      <c r="H123" s="547"/>
      <c r="I123" s="551"/>
      <c r="J123" s="547"/>
      <c r="K123" s="547"/>
      <c r="L123" s="551"/>
      <c r="M123" s="547"/>
      <c r="N123" s="547"/>
      <c r="O123" s="551"/>
      <c r="P123" s="548"/>
      <c r="Q123" s="547"/>
      <c r="R123" s="551"/>
      <c r="S123" s="547">
        <v>802716505</v>
      </c>
      <c r="T123" s="547"/>
      <c r="U123" s="551"/>
      <c r="V123" s="547"/>
      <c r="W123" s="547"/>
      <c r="X123" s="551"/>
      <c r="Y123" s="549"/>
      <c r="Z123" s="547"/>
      <c r="AA123" s="551"/>
      <c r="AB123" s="549"/>
      <c r="AC123" s="547"/>
      <c r="AD123" s="551"/>
      <c r="AE123" s="549">
        <v>588529000</v>
      </c>
    </row>
    <row r="124" spans="1:31" ht="18.75" customHeight="1">
      <c r="A124" s="545" t="s">
        <v>686</v>
      </c>
      <c r="B124" s="546" t="s">
        <v>687</v>
      </c>
      <c r="C124" s="547"/>
      <c r="D124" s="547"/>
      <c r="E124" s="547"/>
      <c r="F124" s="547"/>
      <c r="G124" s="547"/>
      <c r="H124" s="547"/>
      <c r="I124" s="551"/>
      <c r="J124" s="547"/>
      <c r="K124" s="547"/>
      <c r="L124" s="551"/>
      <c r="M124" s="547"/>
      <c r="N124" s="547"/>
      <c r="O124" s="551"/>
      <c r="P124" s="548"/>
      <c r="Q124" s="547"/>
      <c r="R124" s="551"/>
      <c r="S124" s="547"/>
      <c r="T124" s="547"/>
      <c r="U124" s="551"/>
      <c r="V124" s="547"/>
      <c r="W124" s="547"/>
      <c r="X124" s="551"/>
      <c r="Y124" s="549"/>
      <c r="Z124" s="547"/>
      <c r="AA124" s="551"/>
      <c r="AB124" s="549"/>
      <c r="AC124" s="547"/>
      <c r="AD124" s="551"/>
      <c r="AE124" s="549"/>
    </row>
    <row r="125" spans="1:31" ht="18.75" customHeight="1">
      <c r="A125" s="545" t="s">
        <v>688</v>
      </c>
      <c r="B125" s="546" t="s">
        <v>689</v>
      </c>
      <c r="C125" s="547"/>
      <c r="D125" s="547"/>
      <c r="E125" s="547"/>
      <c r="F125" s="547"/>
      <c r="G125" s="547"/>
      <c r="H125" s="547"/>
      <c r="I125" s="551"/>
      <c r="J125" s="547"/>
      <c r="K125" s="547"/>
      <c r="L125" s="551"/>
      <c r="M125" s="547"/>
      <c r="N125" s="547"/>
      <c r="O125" s="551"/>
      <c r="P125" s="548">
        <v>15135357380</v>
      </c>
      <c r="Q125" s="547"/>
      <c r="R125" s="551"/>
      <c r="S125" s="547"/>
      <c r="T125" s="547"/>
      <c r="U125" s="551"/>
      <c r="V125" s="547"/>
      <c r="W125" s="547"/>
      <c r="X125" s="551"/>
      <c r="Y125" s="549"/>
      <c r="Z125" s="547"/>
      <c r="AA125" s="551"/>
      <c r="AB125" s="549"/>
      <c r="AC125" s="547"/>
      <c r="AD125" s="551"/>
      <c r="AE125" s="549"/>
    </row>
    <row r="126" spans="1:31" ht="12.75">
      <c r="A126" s="30"/>
      <c r="B126" s="560"/>
      <c r="C126" s="561"/>
      <c r="D126" s="561"/>
      <c r="E126" s="561"/>
      <c r="F126" s="561"/>
      <c r="G126" s="562"/>
      <c r="H126" s="561"/>
      <c r="I126" s="561"/>
      <c r="J126" s="562"/>
      <c r="K126" s="561"/>
      <c r="L126" s="561"/>
      <c r="M126" s="562"/>
      <c r="N126" s="561"/>
      <c r="O126" s="561"/>
      <c r="P126" s="563"/>
      <c r="Q126" s="561"/>
      <c r="R126" s="561"/>
      <c r="S126" s="562"/>
      <c r="T126" s="561"/>
      <c r="U126" s="561"/>
      <c r="V126" s="562"/>
      <c r="W126" s="561"/>
      <c r="X126" s="561"/>
      <c r="Y126" s="564"/>
      <c r="Z126" s="561"/>
      <c r="AA126" s="561"/>
      <c r="AB126" s="564"/>
      <c r="AC126" s="561"/>
      <c r="AD126" s="561"/>
      <c r="AE126" s="564"/>
    </row>
    <row r="127" spans="1:25" s="565" customFormat="1" ht="12.75">
      <c r="A127" s="25"/>
      <c r="B127" s="26"/>
      <c r="C127" s="521"/>
      <c r="D127" s="521"/>
      <c r="E127" s="521"/>
      <c r="F127" s="521"/>
      <c r="G127" s="521"/>
      <c r="H127" s="521"/>
      <c r="I127" s="521"/>
      <c r="J127" s="521"/>
      <c r="P127" s="566"/>
      <c r="S127" s="567" t="e">
        <f>1422771040339-#REF!</f>
        <v>#REF!</v>
      </c>
      <c r="Y127" s="568"/>
    </row>
    <row r="128" spans="1:25" s="565" customFormat="1" ht="12.75">
      <c r="A128" s="25"/>
      <c r="B128" s="26"/>
      <c r="C128" s="521"/>
      <c r="D128" s="521"/>
      <c r="E128" s="521"/>
      <c r="F128" s="521"/>
      <c r="G128" s="521"/>
      <c r="H128" s="521"/>
      <c r="I128" s="521"/>
      <c r="J128" s="521"/>
      <c r="P128" s="566"/>
      <c r="Y128" s="568"/>
    </row>
    <row r="129" spans="1:25" s="565" customFormat="1" ht="12.75">
      <c r="A129" s="25"/>
      <c r="B129" s="26"/>
      <c r="C129" s="521"/>
      <c r="D129" s="521"/>
      <c r="E129" s="521"/>
      <c r="F129" s="521"/>
      <c r="G129" s="521"/>
      <c r="H129" s="521"/>
      <c r="I129" s="521"/>
      <c r="J129" s="521"/>
      <c r="P129" s="566"/>
      <c r="Y129" s="568"/>
    </row>
    <row r="130" spans="1:25" s="571" customFormat="1" ht="12.75">
      <c r="A130" s="306"/>
      <c r="B130" s="569"/>
      <c r="C130" s="570"/>
      <c r="D130" s="570"/>
      <c r="E130" s="570"/>
      <c r="F130" s="570"/>
      <c r="G130" s="570"/>
      <c r="H130" s="570"/>
      <c r="I130" s="570"/>
      <c r="J130" s="570"/>
      <c r="Y130" s="572"/>
    </row>
    <row r="131" spans="1:25" s="565" customFormat="1" ht="12.75">
      <c r="A131" s="25"/>
      <c r="B131" s="26"/>
      <c r="C131" s="521"/>
      <c r="D131" s="521"/>
      <c r="E131" s="521"/>
      <c r="F131" s="521"/>
      <c r="G131" s="521"/>
      <c r="H131" s="521"/>
      <c r="I131" s="521"/>
      <c r="J131" s="521"/>
      <c r="P131" s="566"/>
      <c r="Y131" s="568"/>
    </row>
    <row r="132" spans="1:25" s="565" customFormat="1" ht="12.75">
      <c r="A132" s="25"/>
      <c r="B132" s="26"/>
      <c r="C132" s="521"/>
      <c r="D132" s="521"/>
      <c r="E132" s="521"/>
      <c r="F132" s="521"/>
      <c r="G132" s="521"/>
      <c r="H132" s="521"/>
      <c r="I132" s="521"/>
      <c r="J132" s="521"/>
      <c r="P132" s="566"/>
      <c r="Y132" s="568"/>
    </row>
    <row r="133" spans="1:25" s="565" customFormat="1" ht="12.75">
      <c r="A133" s="25"/>
      <c r="B133" s="26"/>
      <c r="C133" s="521"/>
      <c r="D133" s="521"/>
      <c r="E133" s="521"/>
      <c r="F133" s="521"/>
      <c r="G133" s="521"/>
      <c r="H133" s="521"/>
      <c r="I133" s="521"/>
      <c r="J133" s="521"/>
      <c r="P133" s="566"/>
      <c r="Y133" s="568"/>
    </row>
    <row r="134" spans="1:25" s="565" customFormat="1" ht="12.75">
      <c r="A134" s="25"/>
      <c r="B134" s="26"/>
      <c r="C134" s="521"/>
      <c r="D134" s="521"/>
      <c r="E134" s="521"/>
      <c r="F134" s="521"/>
      <c r="G134" s="521"/>
      <c r="H134" s="521"/>
      <c r="I134" s="521"/>
      <c r="J134" s="521"/>
      <c r="P134" s="566"/>
      <c r="Y134" s="568"/>
    </row>
    <row r="135" spans="1:25" s="565" customFormat="1" ht="12.75">
      <c r="A135" s="25"/>
      <c r="B135" s="26"/>
      <c r="C135" s="521"/>
      <c r="D135" s="521"/>
      <c r="E135" s="521"/>
      <c r="F135" s="521"/>
      <c r="G135" s="521"/>
      <c r="H135" s="521"/>
      <c r="I135" s="521"/>
      <c r="J135" s="521"/>
      <c r="P135" s="566"/>
      <c r="Y135" s="568"/>
    </row>
    <row r="136" spans="1:25" s="565" customFormat="1" ht="12.75">
      <c r="A136" s="25"/>
      <c r="B136" s="26"/>
      <c r="C136" s="521"/>
      <c r="D136" s="521"/>
      <c r="E136" s="521"/>
      <c r="F136" s="521"/>
      <c r="G136" s="521"/>
      <c r="H136" s="521"/>
      <c r="I136" s="521"/>
      <c r="J136" s="521"/>
      <c r="P136" s="566"/>
      <c r="Y136" s="568"/>
    </row>
    <row r="137" spans="1:25" s="565" customFormat="1" ht="12.75">
      <c r="A137" s="25"/>
      <c r="B137" s="26"/>
      <c r="C137" s="521"/>
      <c r="D137" s="521"/>
      <c r="E137" s="521"/>
      <c r="F137" s="521"/>
      <c r="G137" s="521"/>
      <c r="H137" s="521"/>
      <c r="I137" s="521"/>
      <c r="J137" s="521"/>
      <c r="P137" s="566"/>
      <c r="Y137" s="568"/>
    </row>
    <row r="138" spans="1:25" s="565" customFormat="1" ht="12.75">
      <c r="A138" s="25"/>
      <c r="B138" s="26"/>
      <c r="C138" s="521"/>
      <c r="D138" s="521"/>
      <c r="E138" s="521"/>
      <c r="F138" s="521"/>
      <c r="G138" s="521"/>
      <c r="H138" s="521"/>
      <c r="I138" s="521"/>
      <c r="J138" s="521"/>
      <c r="P138" s="566"/>
      <c r="Y138" s="568"/>
    </row>
    <row r="139" spans="1:25" s="565" customFormat="1" ht="12.75">
      <c r="A139" s="25"/>
      <c r="B139" s="26"/>
      <c r="C139" s="521"/>
      <c r="D139" s="521"/>
      <c r="E139" s="521"/>
      <c r="F139" s="521"/>
      <c r="G139" s="521"/>
      <c r="H139" s="521"/>
      <c r="I139" s="521"/>
      <c r="J139" s="521"/>
      <c r="P139" s="566"/>
      <c r="Y139" s="568"/>
    </row>
    <row r="140" spans="1:25" s="565" customFormat="1" ht="12.75">
      <c r="A140" s="25"/>
      <c r="B140" s="26"/>
      <c r="C140" s="521"/>
      <c r="D140" s="521"/>
      <c r="E140" s="521"/>
      <c r="F140" s="521"/>
      <c r="G140" s="521"/>
      <c r="H140" s="521"/>
      <c r="I140" s="521"/>
      <c r="J140" s="521"/>
      <c r="P140" s="566"/>
      <c r="Y140" s="568"/>
    </row>
    <row r="141" spans="1:25" s="565" customFormat="1" ht="12.75">
      <c r="A141" s="25"/>
      <c r="B141" s="26"/>
      <c r="C141" s="521"/>
      <c r="D141" s="521"/>
      <c r="E141" s="521"/>
      <c r="F141" s="521"/>
      <c r="G141" s="521"/>
      <c r="H141" s="521"/>
      <c r="I141" s="521"/>
      <c r="J141" s="521"/>
      <c r="P141" s="566"/>
      <c r="Y141" s="568"/>
    </row>
    <row r="142" spans="1:25" s="565" customFormat="1" ht="12.75">
      <c r="A142" s="25"/>
      <c r="B142" s="26"/>
      <c r="C142" s="521"/>
      <c r="D142" s="521"/>
      <c r="E142" s="521"/>
      <c r="F142" s="521"/>
      <c r="G142" s="521"/>
      <c r="H142" s="521"/>
      <c r="I142" s="521"/>
      <c r="J142" s="521"/>
      <c r="P142" s="566"/>
      <c r="Y142" s="568"/>
    </row>
    <row r="143" spans="1:25" s="565" customFormat="1" ht="12.75">
      <c r="A143" s="25"/>
      <c r="B143" s="26"/>
      <c r="C143" s="521"/>
      <c r="D143" s="521"/>
      <c r="E143" s="521"/>
      <c r="F143" s="521"/>
      <c r="G143" s="521"/>
      <c r="H143" s="521"/>
      <c r="I143" s="521"/>
      <c r="J143" s="521"/>
      <c r="P143" s="566"/>
      <c r="Y143" s="568"/>
    </row>
    <row r="144" spans="1:25" s="565" customFormat="1" ht="12.75">
      <c r="A144" s="25"/>
      <c r="B144" s="26"/>
      <c r="C144" s="521"/>
      <c r="D144" s="521"/>
      <c r="E144" s="521"/>
      <c r="F144" s="521"/>
      <c r="G144" s="521"/>
      <c r="H144" s="521"/>
      <c r="I144" s="521"/>
      <c r="J144" s="521"/>
      <c r="P144" s="566"/>
      <c r="Y144" s="568"/>
    </row>
    <row r="145" spans="1:25" s="565" customFormat="1" ht="12.75">
      <c r="A145" s="25"/>
      <c r="B145" s="26"/>
      <c r="C145" s="521"/>
      <c r="D145" s="521"/>
      <c r="E145" s="521"/>
      <c r="F145" s="521"/>
      <c r="G145" s="521"/>
      <c r="H145" s="521"/>
      <c r="I145" s="521"/>
      <c r="J145" s="521"/>
      <c r="P145" s="566"/>
      <c r="Y145" s="568"/>
    </row>
    <row r="146" spans="1:25" s="565" customFormat="1" ht="12.75">
      <c r="A146" s="25"/>
      <c r="B146" s="26"/>
      <c r="C146" s="521"/>
      <c r="D146" s="521"/>
      <c r="E146" s="521"/>
      <c r="F146" s="521"/>
      <c r="G146" s="521"/>
      <c r="H146" s="521"/>
      <c r="I146" s="521"/>
      <c r="J146" s="521"/>
      <c r="P146" s="566"/>
      <c r="Y146" s="568"/>
    </row>
    <row r="147" spans="1:25" s="565" customFormat="1" ht="12.75">
      <c r="A147" s="25"/>
      <c r="B147" s="26"/>
      <c r="C147" s="521"/>
      <c r="D147" s="521"/>
      <c r="E147" s="521"/>
      <c r="F147" s="521"/>
      <c r="G147" s="521"/>
      <c r="H147" s="521"/>
      <c r="I147" s="521"/>
      <c r="J147" s="521"/>
      <c r="P147" s="566"/>
      <c r="Y147" s="568"/>
    </row>
    <row r="148" spans="1:25" s="565" customFormat="1" ht="12.75">
      <c r="A148" s="25"/>
      <c r="B148" s="26"/>
      <c r="C148" s="521"/>
      <c r="D148" s="521"/>
      <c r="E148" s="521"/>
      <c r="F148" s="521"/>
      <c r="G148" s="521"/>
      <c r="H148" s="521"/>
      <c r="I148" s="521"/>
      <c r="J148" s="521"/>
      <c r="P148" s="566"/>
      <c r="Y148" s="568"/>
    </row>
    <row r="149" spans="1:25" s="565" customFormat="1" ht="12.75">
      <c r="A149" s="25"/>
      <c r="B149" s="26"/>
      <c r="C149" s="521"/>
      <c r="D149" s="521"/>
      <c r="E149" s="521"/>
      <c r="F149" s="521"/>
      <c r="G149" s="521"/>
      <c r="H149" s="521"/>
      <c r="I149" s="521"/>
      <c r="J149" s="521"/>
      <c r="P149" s="566"/>
      <c r="Y149" s="568"/>
    </row>
    <row r="150" spans="1:25" s="565" customFormat="1" ht="12.75">
      <c r="A150" s="25"/>
      <c r="B150" s="26"/>
      <c r="C150" s="521"/>
      <c r="D150" s="521"/>
      <c r="E150" s="521"/>
      <c r="F150" s="521"/>
      <c r="G150" s="521"/>
      <c r="H150" s="521"/>
      <c r="I150" s="521"/>
      <c r="J150" s="521"/>
      <c r="P150" s="566"/>
      <c r="Y150" s="568"/>
    </row>
    <row r="151" spans="1:25" s="565" customFormat="1" ht="12.75">
      <c r="A151" s="25"/>
      <c r="B151" s="26"/>
      <c r="C151" s="521"/>
      <c r="D151" s="521"/>
      <c r="E151" s="521"/>
      <c r="F151" s="521"/>
      <c r="G151" s="521"/>
      <c r="H151" s="521"/>
      <c r="I151" s="521"/>
      <c r="J151" s="521"/>
      <c r="P151" s="566"/>
      <c r="Y151" s="568"/>
    </row>
    <row r="152" spans="1:25" s="565" customFormat="1" ht="12.75">
      <c r="A152" s="25"/>
      <c r="B152" s="26"/>
      <c r="C152" s="521"/>
      <c r="D152" s="521"/>
      <c r="E152" s="521"/>
      <c r="F152" s="521"/>
      <c r="G152" s="521"/>
      <c r="H152" s="521"/>
      <c r="I152" s="521"/>
      <c r="J152" s="521"/>
      <c r="P152" s="566"/>
      <c r="Y152" s="568"/>
    </row>
    <row r="153" spans="1:25" s="565" customFormat="1" ht="12.75">
      <c r="A153" s="25"/>
      <c r="B153" s="26"/>
      <c r="C153" s="521"/>
      <c r="D153" s="521"/>
      <c r="E153" s="521"/>
      <c r="F153" s="521"/>
      <c r="G153" s="521"/>
      <c r="H153" s="521"/>
      <c r="I153" s="521"/>
      <c r="J153" s="521"/>
      <c r="P153" s="566"/>
      <c r="Y153" s="568"/>
    </row>
    <row r="154" spans="1:25" s="565" customFormat="1" ht="12.75">
      <c r="A154" s="25"/>
      <c r="B154" s="26"/>
      <c r="C154" s="521"/>
      <c r="D154" s="521"/>
      <c r="E154" s="521"/>
      <c r="F154" s="521"/>
      <c r="G154" s="521"/>
      <c r="H154" s="521"/>
      <c r="I154" s="521"/>
      <c r="J154" s="521"/>
      <c r="P154" s="566"/>
      <c r="Y154" s="568"/>
    </row>
    <row r="155" spans="1:25" s="565" customFormat="1" ht="12.75">
      <c r="A155" s="25"/>
      <c r="B155" s="26"/>
      <c r="C155" s="521"/>
      <c r="D155" s="521"/>
      <c r="E155" s="521"/>
      <c r="F155" s="521"/>
      <c r="G155" s="521"/>
      <c r="H155" s="521"/>
      <c r="I155" s="521"/>
      <c r="J155" s="521"/>
      <c r="P155" s="566"/>
      <c r="Y155" s="568"/>
    </row>
    <row r="156" spans="1:25" s="565" customFormat="1" ht="12.75">
      <c r="A156" s="25"/>
      <c r="B156" s="26"/>
      <c r="C156" s="521"/>
      <c r="D156" s="521"/>
      <c r="E156" s="521"/>
      <c r="F156" s="521"/>
      <c r="G156" s="521"/>
      <c r="H156" s="521"/>
      <c r="I156" s="521"/>
      <c r="J156" s="521"/>
      <c r="P156" s="566"/>
      <c r="Y156" s="568"/>
    </row>
    <row r="157" spans="1:25" s="565" customFormat="1" ht="12.75">
      <c r="A157" s="25"/>
      <c r="B157" s="26"/>
      <c r="C157" s="521"/>
      <c r="D157" s="521"/>
      <c r="E157" s="521"/>
      <c r="F157" s="521"/>
      <c r="G157" s="521"/>
      <c r="H157" s="521"/>
      <c r="I157" s="521"/>
      <c r="J157" s="521"/>
      <c r="P157" s="566"/>
      <c r="Y157" s="568"/>
    </row>
    <row r="158" spans="1:25" s="565" customFormat="1" ht="12.75">
      <c r="A158" s="25"/>
      <c r="B158" s="26"/>
      <c r="C158" s="521"/>
      <c r="D158" s="521"/>
      <c r="E158" s="521"/>
      <c r="F158" s="521"/>
      <c r="G158" s="521"/>
      <c r="H158" s="521"/>
      <c r="I158" s="521"/>
      <c r="J158" s="521"/>
      <c r="P158" s="566"/>
      <c r="Y158" s="568"/>
    </row>
    <row r="159" spans="1:25" s="565" customFormat="1" ht="12.75">
      <c r="A159" s="25"/>
      <c r="B159" s="26"/>
      <c r="C159" s="521"/>
      <c r="D159" s="521"/>
      <c r="E159" s="521"/>
      <c r="F159" s="521"/>
      <c r="G159" s="521"/>
      <c r="H159" s="521"/>
      <c r="I159" s="521"/>
      <c r="J159" s="521"/>
      <c r="P159" s="566"/>
      <c r="Y159" s="568"/>
    </row>
    <row r="160" spans="1:25" s="565" customFormat="1" ht="12.75">
      <c r="A160" s="25"/>
      <c r="B160" s="26"/>
      <c r="C160" s="521"/>
      <c r="D160" s="521"/>
      <c r="E160" s="521"/>
      <c r="F160" s="521"/>
      <c r="G160" s="521"/>
      <c r="H160" s="521"/>
      <c r="I160" s="521"/>
      <c r="J160" s="521"/>
      <c r="P160" s="566"/>
      <c r="Y160" s="568"/>
    </row>
    <row r="161" spans="1:25" s="565" customFormat="1" ht="12.75">
      <c r="A161" s="25"/>
      <c r="B161" s="26"/>
      <c r="C161" s="521"/>
      <c r="D161" s="521"/>
      <c r="E161" s="521"/>
      <c r="F161" s="521"/>
      <c r="G161" s="521"/>
      <c r="H161" s="521"/>
      <c r="I161" s="521"/>
      <c r="J161" s="521"/>
      <c r="P161" s="566"/>
      <c r="Y161" s="568"/>
    </row>
    <row r="162" spans="1:25" s="565" customFormat="1" ht="12.75">
      <c r="A162" s="25"/>
      <c r="B162" s="26"/>
      <c r="C162" s="521"/>
      <c r="D162" s="521"/>
      <c r="E162" s="521"/>
      <c r="F162" s="521"/>
      <c r="G162" s="521"/>
      <c r="H162" s="521"/>
      <c r="I162" s="521"/>
      <c r="J162" s="521"/>
      <c r="P162" s="566"/>
      <c r="Y162" s="568"/>
    </row>
    <row r="163" spans="1:25" s="565" customFormat="1" ht="12.75">
      <c r="A163" s="25"/>
      <c r="B163" s="26"/>
      <c r="C163" s="521"/>
      <c r="D163" s="521"/>
      <c r="E163" s="521"/>
      <c r="F163" s="521"/>
      <c r="G163" s="521"/>
      <c r="H163" s="521"/>
      <c r="I163" s="521"/>
      <c r="J163" s="521"/>
      <c r="P163" s="566"/>
      <c r="Y163" s="568"/>
    </row>
    <row r="164" spans="1:25" s="565" customFormat="1" ht="12.75">
      <c r="A164" s="25"/>
      <c r="B164" s="26"/>
      <c r="C164" s="521"/>
      <c r="D164" s="521"/>
      <c r="E164" s="521"/>
      <c r="F164" s="521"/>
      <c r="G164" s="521"/>
      <c r="H164" s="521"/>
      <c r="I164" s="521"/>
      <c r="J164" s="521"/>
      <c r="P164" s="566"/>
      <c r="Y164" s="568"/>
    </row>
    <row r="165" spans="1:25" s="565" customFormat="1" ht="12.75">
      <c r="A165" s="25"/>
      <c r="B165" s="26"/>
      <c r="C165" s="521"/>
      <c r="D165" s="521"/>
      <c r="E165" s="521"/>
      <c r="F165" s="521"/>
      <c r="G165" s="521"/>
      <c r="H165" s="521"/>
      <c r="I165" s="521"/>
      <c r="J165" s="521"/>
      <c r="P165" s="566"/>
      <c r="Y165" s="568"/>
    </row>
    <row r="166" spans="1:25" s="565" customFormat="1" ht="12.75">
      <c r="A166" s="25"/>
      <c r="B166" s="26"/>
      <c r="C166" s="521"/>
      <c r="D166" s="521"/>
      <c r="E166" s="521"/>
      <c r="F166" s="521"/>
      <c r="G166" s="521"/>
      <c r="H166" s="521"/>
      <c r="I166" s="521"/>
      <c r="J166" s="521"/>
      <c r="P166" s="566"/>
      <c r="Y166" s="568"/>
    </row>
    <row r="167" spans="1:25" s="565" customFormat="1" ht="12.75">
      <c r="A167" s="25"/>
      <c r="B167" s="26"/>
      <c r="C167" s="521"/>
      <c r="D167" s="521"/>
      <c r="E167" s="521"/>
      <c r="F167" s="521"/>
      <c r="G167" s="521"/>
      <c r="H167" s="521"/>
      <c r="I167" s="521"/>
      <c r="J167" s="521"/>
      <c r="P167" s="566"/>
      <c r="Y167" s="568"/>
    </row>
    <row r="168" spans="1:25" s="565" customFormat="1" ht="12.75">
      <c r="A168" s="25"/>
      <c r="B168" s="26"/>
      <c r="C168" s="521"/>
      <c r="D168" s="521"/>
      <c r="E168" s="521"/>
      <c r="F168" s="521"/>
      <c r="G168" s="521"/>
      <c r="H168" s="521"/>
      <c r="I168" s="521"/>
      <c r="J168" s="521"/>
      <c r="P168" s="566"/>
      <c r="Y168" s="568"/>
    </row>
    <row r="169" spans="1:25" s="565" customFormat="1" ht="12.75">
      <c r="A169" s="25"/>
      <c r="B169" s="26"/>
      <c r="C169" s="521"/>
      <c r="D169" s="521"/>
      <c r="E169" s="521"/>
      <c r="F169" s="521"/>
      <c r="G169" s="521"/>
      <c r="H169" s="521"/>
      <c r="I169" s="521"/>
      <c r="J169" s="521"/>
      <c r="P169" s="566"/>
      <c r="Y169" s="568"/>
    </row>
    <row r="170" spans="1:25" s="565" customFormat="1" ht="12.75">
      <c r="A170" s="25"/>
      <c r="B170" s="26"/>
      <c r="C170" s="521"/>
      <c r="D170" s="521"/>
      <c r="E170" s="521"/>
      <c r="F170" s="521"/>
      <c r="G170" s="521"/>
      <c r="H170" s="521"/>
      <c r="I170" s="521"/>
      <c r="J170" s="521"/>
      <c r="P170" s="566"/>
      <c r="Y170" s="568"/>
    </row>
    <row r="171" spans="1:25" s="565" customFormat="1" ht="12.75">
      <c r="A171" s="25"/>
      <c r="B171" s="26"/>
      <c r="C171" s="521"/>
      <c r="D171" s="521"/>
      <c r="E171" s="521"/>
      <c r="F171" s="521"/>
      <c r="G171" s="521"/>
      <c r="H171" s="521"/>
      <c r="I171" s="521"/>
      <c r="J171" s="521"/>
      <c r="P171" s="566"/>
      <c r="Y171" s="568"/>
    </row>
    <row r="172" spans="1:25" s="565" customFormat="1" ht="12.75">
      <c r="A172" s="25"/>
      <c r="B172" s="26"/>
      <c r="C172" s="521"/>
      <c r="D172" s="521"/>
      <c r="E172" s="521"/>
      <c r="F172" s="521"/>
      <c r="G172" s="521"/>
      <c r="H172" s="521"/>
      <c r="I172" s="521"/>
      <c r="J172" s="521"/>
      <c r="P172" s="566"/>
      <c r="Y172" s="568"/>
    </row>
    <row r="173" spans="1:25" s="565" customFormat="1" ht="12.75">
      <c r="A173" s="25"/>
      <c r="B173" s="26"/>
      <c r="C173" s="521"/>
      <c r="D173" s="521"/>
      <c r="E173" s="521"/>
      <c r="F173" s="521"/>
      <c r="G173" s="521"/>
      <c r="H173" s="521"/>
      <c r="I173" s="521"/>
      <c r="J173" s="521"/>
      <c r="P173" s="566"/>
      <c r="Y173" s="568"/>
    </row>
    <row r="174" spans="1:25" s="565" customFormat="1" ht="12.75">
      <c r="A174" s="25"/>
      <c r="B174" s="26"/>
      <c r="C174" s="521"/>
      <c r="D174" s="521"/>
      <c r="E174" s="521"/>
      <c r="F174" s="521"/>
      <c r="G174" s="521"/>
      <c r="H174" s="521"/>
      <c r="I174" s="521"/>
      <c r="J174" s="521"/>
      <c r="P174" s="566"/>
      <c r="Y174" s="568"/>
    </row>
    <row r="175" spans="1:25" s="565" customFormat="1" ht="12.75">
      <c r="A175" s="25"/>
      <c r="B175" s="26"/>
      <c r="C175" s="521"/>
      <c r="D175" s="521"/>
      <c r="E175" s="521"/>
      <c r="F175" s="521"/>
      <c r="G175" s="521"/>
      <c r="H175" s="521"/>
      <c r="I175" s="521"/>
      <c r="J175" s="521"/>
      <c r="P175" s="566"/>
      <c r="Y175" s="568"/>
    </row>
    <row r="176" spans="1:25" s="565" customFormat="1" ht="12.75">
      <c r="A176" s="25"/>
      <c r="B176" s="26"/>
      <c r="C176" s="521"/>
      <c r="D176" s="521"/>
      <c r="E176" s="521"/>
      <c r="F176" s="521"/>
      <c r="G176" s="521"/>
      <c r="H176" s="521"/>
      <c r="I176" s="521"/>
      <c r="J176" s="521"/>
      <c r="P176" s="566"/>
      <c r="Y176" s="568"/>
    </row>
    <row r="177" spans="1:25" s="565" customFormat="1" ht="12.75">
      <c r="A177" s="25"/>
      <c r="B177" s="26"/>
      <c r="C177" s="521"/>
      <c r="D177" s="521"/>
      <c r="E177" s="521"/>
      <c r="F177" s="521"/>
      <c r="G177" s="521"/>
      <c r="H177" s="521"/>
      <c r="I177" s="521"/>
      <c r="J177" s="521"/>
      <c r="P177" s="566"/>
      <c r="Y177" s="568"/>
    </row>
    <row r="178" spans="1:25" s="565" customFormat="1" ht="12.75">
      <c r="A178" s="25"/>
      <c r="B178" s="26"/>
      <c r="C178" s="521"/>
      <c r="D178" s="521"/>
      <c r="E178" s="521"/>
      <c r="F178" s="521"/>
      <c r="G178" s="521"/>
      <c r="H178" s="521"/>
      <c r="I178" s="521"/>
      <c r="J178" s="521"/>
      <c r="P178" s="566"/>
      <c r="Y178" s="568"/>
    </row>
    <row r="179" spans="1:25" s="565" customFormat="1" ht="12.75">
      <c r="A179" s="25"/>
      <c r="B179" s="26"/>
      <c r="C179" s="521"/>
      <c r="D179" s="521"/>
      <c r="E179" s="521"/>
      <c r="F179" s="521"/>
      <c r="G179" s="521"/>
      <c r="H179" s="521"/>
      <c r="I179" s="521"/>
      <c r="J179" s="521"/>
      <c r="P179" s="566"/>
      <c r="Y179" s="568"/>
    </row>
    <row r="180" spans="1:25" s="565" customFormat="1" ht="12.75">
      <c r="A180" s="25"/>
      <c r="B180" s="26"/>
      <c r="C180" s="521"/>
      <c r="D180" s="521"/>
      <c r="E180" s="521"/>
      <c r="F180" s="521"/>
      <c r="G180" s="521"/>
      <c r="H180" s="521"/>
      <c r="I180" s="521"/>
      <c r="J180" s="521"/>
      <c r="P180" s="566"/>
      <c r="Y180" s="568"/>
    </row>
    <row r="181" spans="1:25" s="565" customFormat="1" ht="12.75">
      <c r="A181" s="25"/>
      <c r="B181" s="26"/>
      <c r="C181" s="521"/>
      <c r="D181" s="521"/>
      <c r="E181" s="521"/>
      <c r="F181" s="521"/>
      <c r="G181" s="521"/>
      <c r="H181" s="521"/>
      <c r="I181" s="521"/>
      <c r="J181" s="521"/>
      <c r="P181" s="566"/>
      <c r="Y181" s="568"/>
    </row>
    <row r="182" spans="1:25" s="565" customFormat="1" ht="12.75">
      <c r="A182" s="25"/>
      <c r="B182" s="26"/>
      <c r="C182" s="521"/>
      <c r="D182" s="521"/>
      <c r="E182" s="521"/>
      <c r="F182" s="521"/>
      <c r="G182" s="521"/>
      <c r="H182" s="521"/>
      <c r="I182" s="521"/>
      <c r="J182" s="521"/>
      <c r="P182" s="566"/>
      <c r="Y182" s="568"/>
    </row>
    <row r="183" spans="1:25" s="565" customFormat="1" ht="12.75">
      <c r="A183" s="25"/>
      <c r="B183" s="26"/>
      <c r="C183" s="521"/>
      <c r="D183" s="521"/>
      <c r="E183" s="521"/>
      <c r="F183" s="521"/>
      <c r="G183" s="521"/>
      <c r="H183" s="521"/>
      <c r="I183" s="521"/>
      <c r="J183" s="521"/>
      <c r="P183" s="566"/>
      <c r="Y183" s="568"/>
    </row>
    <row r="184" spans="1:25" s="565" customFormat="1" ht="12.75">
      <c r="A184" s="25"/>
      <c r="B184" s="26"/>
      <c r="C184" s="521"/>
      <c r="D184" s="521"/>
      <c r="E184" s="521"/>
      <c r="F184" s="521"/>
      <c r="G184" s="521"/>
      <c r="H184" s="521"/>
      <c r="I184" s="521"/>
      <c r="J184" s="521"/>
      <c r="P184" s="566"/>
      <c r="Y184" s="568"/>
    </row>
    <row r="185" spans="1:25" s="565" customFormat="1" ht="12.75">
      <c r="A185" s="25"/>
      <c r="B185" s="26"/>
      <c r="C185" s="521"/>
      <c r="D185" s="521"/>
      <c r="E185" s="521"/>
      <c r="F185" s="521"/>
      <c r="G185" s="521"/>
      <c r="H185" s="521"/>
      <c r="I185" s="521"/>
      <c r="J185" s="521"/>
      <c r="P185" s="566"/>
      <c r="Y185" s="568"/>
    </row>
    <row r="186" spans="1:25" s="565" customFormat="1" ht="12.75">
      <c r="A186" s="25"/>
      <c r="B186" s="26"/>
      <c r="C186" s="521"/>
      <c r="D186" s="521"/>
      <c r="E186" s="521"/>
      <c r="F186" s="521"/>
      <c r="G186" s="521"/>
      <c r="H186" s="521"/>
      <c r="I186" s="521"/>
      <c r="J186" s="521"/>
      <c r="P186" s="566"/>
      <c r="Y186" s="568"/>
    </row>
    <row r="187" spans="1:25" s="565" customFormat="1" ht="12.75">
      <c r="A187" s="25"/>
      <c r="B187" s="26"/>
      <c r="C187" s="521"/>
      <c r="D187" s="521"/>
      <c r="E187" s="521"/>
      <c r="F187" s="521"/>
      <c r="G187" s="521"/>
      <c r="H187" s="521"/>
      <c r="I187" s="521"/>
      <c r="J187" s="521"/>
      <c r="P187" s="566"/>
      <c r="Y187" s="568"/>
    </row>
    <row r="188" spans="1:25" s="565" customFormat="1" ht="12.75">
      <c r="A188" s="25"/>
      <c r="B188" s="26"/>
      <c r="C188" s="521"/>
      <c r="D188" s="521"/>
      <c r="E188" s="521"/>
      <c r="F188" s="521"/>
      <c r="G188" s="521"/>
      <c r="H188" s="521"/>
      <c r="I188" s="521"/>
      <c r="J188" s="521"/>
      <c r="P188" s="566"/>
      <c r="Y188" s="568"/>
    </row>
    <row r="189" spans="1:25" s="565" customFormat="1" ht="12.75">
      <c r="A189" s="25"/>
      <c r="B189" s="26"/>
      <c r="C189" s="521"/>
      <c r="D189" s="521"/>
      <c r="E189" s="521"/>
      <c r="F189" s="521"/>
      <c r="G189" s="521"/>
      <c r="H189" s="521"/>
      <c r="I189" s="521"/>
      <c r="J189" s="521"/>
      <c r="P189" s="566"/>
      <c r="Y189" s="568"/>
    </row>
    <row r="190" spans="1:25" s="565" customFormat="1" ht="12.75">
      <c r="A190" s="25"/>
      <c r="B190" s="26"/>
      <c r="C190" s="521"/>
      <c r="D190" s="521"/>
      <c r="E190" s="521"/>
      <c r="F190" s="521"/>
      <c r="G190" s="521"/>
      <c r="H190" s="521"/>
      <c r="I190" s="521"/>
      <c r="J190" s="521"/>
      <c r="P190" s="566"/>
      <c r="Y190" s="568"/>
    </row>
    <row r="191" spans="1:25" s="565" customFormat="1" ht="12.75">
      <c r="A191" s="25"/>
      <c r="B191" s="26"/>
      <c r="C191" s="521"/>
      <c r="D191" s="521"/>
      <c r="E191" s="521"/>
      <c r="F191" s="521"/>
      <c r="G191" s="521"/>
      <c r="H191" s="521"/>
      <c r="I191" s="521"/>
      <c r="J191" s="521"/>
      <c r="P191" s="566"/>
      <c r="Y191" s="568"/>
    </row>
    <row r="192" spans="1:25" s="565" customFormat="1" ht="12.75">
      <c r="A192" s="25"/>
      <c r="B192" s="26"/>
      <c r="C192" s="521"/>
      <c r="D192" s="521"/>
      <c r="E192" s="521"/>
      <c r="F192" s="521"/>
      <c r="G192" s="521"/>
      <c r="H192" s="521"/>
      <c r="I192" s="521"/>
      <c r="J192" s="521"/>
      <c r="P192" s="566"/>
      <c r="Y192" s="568"/>
    </row>
    <row r="193" spans="1:25" s="565" customFormat="1" ht="12.75">
      <c r="A193" s="25"/>
      <c r="B193" s="26"/>
      <c r="C193" s="521"/>
      <c r="D193" s="521"/>
      <c r="E193" s="521"/>
      <c r="F193" s="521"/>
      <c r="G193" s="521"/>
      <c r="H193" s="521"/>
      <c r="I193" s="521"/>
      <c r="J193" s="521"/>
      <c r="P193" s="566"/>
      <c r="Y193" s="568"/>
    </row>
    <row r="194" spans="1:25" s="565" customFormat="1" ht="12.75">
      <c r="A194" s="25"/>
      <c r="B194" s="26"/>
      <c r="C194" s="521"/>
      <c r="D194" s="521"/>
      <c r="E194" s="521"/>
      <c r="F194" s="521"/>
      <c r="G194" s="521"/>
      <c r="H194" s="521"/>
      <c r="I194" s="521"/>
      <c r="J194" s="521"/>
      <c r="P194" s="566"/>
      <c r="Y194" s="568"/>
    </row>
    <row r="195" spans="1:25" s="565" customFormat="1" ht="12.75">
      <c r="A195" s="25"/>
      <c r="B195" s="26"/>
      <c r="C195" s="521"/>
      <c r="D195" s="521"/>
      <c r="E195" s="521"/>
      <c r="F195" s="521"/>
      <c r="G195" s="521"/>
      <c r="H195" s="521"/>
      <c r="I195" s="521"/>
      <c r="J195" s="521"/>
      <c r="P195" s="566"/>
      <c r="Y195" s="568"/>
    </row>
    <row r="196" spans="1:25" s="565" customFormat="1" ht="12.75">
      <c r="A196" s="25"/>
      <c r="B196" s="26"/>
      <c r="C196" s="521"/>
      <c r="D196" s="521"/>
      <c r="E196" s="521"/>
      <c r="F196" s="521"/>
      <c r="G196" s="521"/>
      <c r="H196" s="521"/>
      <c r="I196" s="521"/>
      <c r="J196" s="521"/>
      <c r="P196" s="566"/>
      <c r="Y196" s="568"/>
    </row>
    <row r="197" spans="1:25" s="565" customFormat="1" ht="12.75">
      <c r="A197" s="25"/>
      <c r="B197" s="26"/>
      <c r="C197" s="521"/>
      <c r="D197" s="521"/>
      <c r="E197" s="521"/>
      <c r="F197" s="521"/>
      <c r="G197" s="521"/>
      <c r="H197" s="521"/>
      <c r="I197" s="521"/>
      <c r="J197" s="521"/>
      <c r="P197" s="566"/>
      <c r="Y197" s="568"/>
    </row>
    <row r="198" spans="1:25" s="565" customFormat="1" ht="12.75">
      <c r="A198" s="25"/>
      <c r="B198" s="26"/>
      <c r="C198" s="521"/>
      <c r="D198" s="521"/>
      <c r="E198" s="521"/>
      <c r="F198" s="521"/>
      <c r="G198" s="521"/>
      <c r="H198" s="521"/>
      <c r="I198" s="521"/>
      <c r="J198" s="521"/>
      <c r="P198" s="566"/>
      <c r="Y198" s="568"/>
    </row>
    <row r="199" spans="1:25" s="565" customFormat="1" ht="12.75">
      <c r="A199" s="25"/>
      <c r="B199" s="26"/>
      <c r="C199" s="521"/>
      <c r="D199" s="521"/>
      <c r="E199" s="521"/>
      <c r="F199" s="521"/>
      <c r="G199" s="521"/>
      <c r="H199" s="521"/>
      <c r="I199" s="521"/>
      <c r="J199" s="521"/>
      <c r="P199" s="566"/>
      <c r="Y199" s="568"/>
    </row>
    <row r="200" spans="1:25" s="565" customFormat="1" ht="12.75">
      <c r="A200" s="25"/>
      <c r="B200" s="26"/>
      <c r="C200" s="521"/>
      <c r="D200" s="521"/>
      <c r="E200" s="521"/>
      <c r="F200" s="521"/>
      <c r="G200" s="521"/>
      <c r="H200" s="521"/>
      <c r="I200" s="521"/>
      <c r="J200" s="521"/>
      <c r="P200" s="566"/>
      <c r="Y200" s="568"/>
    </row>
    <row r="201" spans="1:25" s="565" customFormat="1" ht="12.75">
      <c r="A201" s="25"/>
      <c r="B201" s="26"/>
      <c r="C201" s="521"/>
      <c r="D201" s="521"/>
      <c r="E201" s="521"/>
      <c r="F201" s="521"/>
      <c r="G201" s="521"/>
      <c r="H201" s="521"/>
      <c r="I201" s="521"/>
      <c r="J201" s="521"/>
      <c r="P201" s="566"/>
      <c r="Y201" s="568"/>
    </row>
    <row r="202" spans="1:25" s="565" customFormat="1" ht="12.75">
      <c r="A202" s="25"/>
      <c r="B202" s="26"/>
      <c r="C202" s="521"/>
      <c r="D202" s="521"/>
      <c r="E202" s="521"/>
      <c r="F202" s="521"/>
      <c r="G202" s="521"/>
      <c r="H202" s="521"/>
      <c r="I202" s="521"/>
      <c r="J202" s="521"/>
      <c r="P202" s="566"/>
      <c r="Y202" s="568"/>
    </row>
    <row r="203" spans="1:25" s="565" customFormat="1" ht="12.75">
      <c r="A203" s="25"/>
      <c r="B203" s="26"/>
      <c r="C203" s="521"/>
      <c r="D203" s="521"/>
      <c r="E203" s="521"/>
      <c r="F203" s="521"/>
      <c r="G203" s="521"/>
      <c r="H203" s="521"/>
      <c r="I203" s="521"/>
      <c r="J203" s="521"/>
      <c r="P203" s="566"/>
      <c r="Y203" s="568"/>
    </row>
    <row r="204" spans="1:25" s="565" customFormat="1" ht="12.75">
      <c r="A204" s="25"/>
      <c r="B204" s="26"/>
      <c r="C204" s="521"/>
      <c r="D204" s="521"/>
      <c r="E204" s="521"/>
      <c r="F204" s="521"/>
      <c r="G204" s="521"/>
      <c r="H204" s="521"/>
      <c r="I204" s="521"/>
      <c r="J204" s="521"/>
      <c r="P204" s="566"/>
      <c r="Y204" s="568"/>
    </row>
    <row r="205" spans="1:25" s="565" customFormat="1" ht="12.75">
      <c r="A205" s="25"/>
      <c r="B205" s="26"/>
      <c r="C205" s="521"/>
      <c r="D205" s="521"/>
      <c r="E205" s="521"/>
      <c r="F205" s="521"/>
      <c r="G205" s="521"/>
      <c r="H205" s="521"/>
      <c r="I205" s="521"/>
      <c r="J205" s="521"/>
      <c r="P205" s="566"/>
      <c r="Y205" s="568"/>
    </row>
    <row r="206" spans="1:25" s="565" customFormat="1" ht="12.75">
      <c r="A206" s="25"/>
      <c r="B206" s="26"/>
      <c r="C206" s="521"/>
      <c r="D206" s="521"/>
      <c r="E206" s="521"/>
      <c r="F206" s="521"/>
      <c r="G206" s="521"/>
      <c r="H206" s="521"/>
      <c r="I206" s="521"/>
      <c r="J206" s="521"/>
      <c r="P206" s="566"/>
      <c r="Y206" s="568"/>
    </row>
    <row r="207" spans="1:25" s="565" customFormat="1" ht="12.75">
      <c r="A207" s="25"/>
      <c r="B207" s="26"/>
      <c r="C207" s="521"/>
      <c r="D207" s="521"/>
      <c r="E207" s="521"/>
      <c r="F207" s="521"/>
      <c r="G207" s="521"/>
      <c r="H207" s="521"/>
      <c r="I207" s="521"/>
      <c r="J207" s="521"/>
      <c r="P207" s="566"/>
      <c r="Y207" s="568"/>
    </row>
    <row r="208" spans="1:25" s="565" customFormat="1" ht="12.75">
      <c r="A208" s="25"/>
      <c r="B208" s="26"/>
      <c r="C208" s="521"/>
      <c r="D208" s="521"/>
      <c r="E208" s="521"/>
      <c r="F208" s="521"/>
      <c r="G208" s="521"/>
      <c r="H208" s="521"/>
      <c r="I208" s="521"/>
      <c r="J208" s="521"/>
      <c r="P208" s="566"/>
      <c r="Y208" s="568"/>
    </row>
    <row r="209" spans="1:25" s="565" customFormat="1" ht="12.75">
      <c r="A209" s="25"/>
      <c r="B209" s="26"/>
      <c r="C209" s="521"/>
      <c r="D209" s="521"/>
      <c r="E209" s="521"/>
      <c r="F209" s="521"/>
      <c r="G209" s="521"/>
      <c r="H209" s="521"/>
      <c r="I209" s="521"/>
      <c r="J209" s="521"/>
      <c r="P209" s="566"/>
      <c r="Y209" s="568"/>
    </row>
    <row r="210" spans="1:25" s="565" customFormat="1" ht="12.75">
      <c r="A210" s="25"/>
      <c r="B210" s="26"/>
      <c r="C210" s="521"/>
      <c r="D210" s="521"/>
      <c r="E210" s="521"/>
      <c r="F210" s="521"/>
      <c r="G210" s="521"/>
      <c r="H210" s="521"/>
      <c r="I210" s="521"/>
      <c r="J210" s="521"/>
      <c r="P210" s="566"/>
      <c r="Y210" s="568"/>
    </row>
    <row r="211" spans="1:25" s="565" customFormat="1" ht="12.75">
      <c r="A211" s="25"/>
      <c r="B211" s="26"/>
      <c r="C211" s="521"/>
      <c r="D211" s="521"/>
      <c r="E211" s="521"/>
      <c r="F211" s="521"/>
      <c r="G211" s="521"/>
      <c r="H211" s="521"/>
      <c r="I211" s="521"/>
      <c r="J211" s="521"/>
      <c r="P211" s="566"/>
      <c r="Y211" s="568"/>
    </row>
    <row r="212" spans="1:25" s="565" customFormat="1" ht="12.75">
      <c r="A212" s="25"/>
      <c r="B212" s="26"/>
      <c r="C212" s="521"/>
      <c r="D212" s="521"/>
      <c r="E212" s="521"/>
      <c r="F212" s="521"/>
      <c r="G212" s="521"/>
      <c r="H212" s="521"/>
      <c r="I212" s="521"/>
      <c r="J212" s="521"/>
      <c r="P212" s="566"/>
      <c r="Y212" s="568"/>
    </row>
    <row r="213" spans="1:25" s="565" customFormat="1" ht="12.75">
      <c r="A213" s="25"/>
      <c r="B213" s="26"/>
      <c r="C213" s="521"/>
      <c r="D213" s="521"/>
      <c r="E213" s="521"/>
      <c r="F213" s="521"/>
      <c r="G213" s="521"/>
      <c r="H213" s="521"/>
      <c r="I213" s="521"/>
      <c r="J213" s="521"/>
      <c r="P213" s="566"/>
      <c r="Y213" s="568"/>
    </row>
    <row r="214" spans="1:25" s="565" customFormat="1" ht="12.75">
      <c r="A214" s="25"/>
      <c r="B214" s="26"/>
      <c r="C214" s="521"/>
      <c r="D214" s="521"/>
      <c r="E214" s="521"/>
      <c r="F214" s="521"/>
      <c r="G214" s="521"/>
      <c r="H214" s="521"/>
      <c r="I214" s="521"/>
      <c r="J214" s="521"/>
      <c r="P214" s="566"/>
      <c r="Y214" s="568"/>
    </row>
    <row r="215" spans="1:25" s="565" customFormat="1" ht="12.75">
      <c r="A215" s="25"/>
      <c r="B215" s="26"/>
      <c r="C215" s="521"/>
      <c r="D215" s="521"/>
      <c r="E215" s="521"/>
      <c r="F215" s="521"/>
      <c r="G215" s="521"/>
      <c r="H215" s="521"/>
      <c r="I215" s="521"/>
      <c r="J215" s="521"/>
      <c r="P215" s="566"/>
      <c r="Y215" s="568"/>
    </row>
    <row r="216" spans="1:25" s="565" customFormat="1" ht="12.75">
      <c r="A216" s="25"/>
      <c r="B216" s="26"/>
      <c r="C216" s="521"/>
      <c r="D216" s="521"/>
      <c r="E216" s="521"/>
      <c r="F216" s="521"/>
      <c r="G216" s="521"/>
      <c r="H216" s="521"/>
      <c r="I216" s="521"/>
      <c r="J216" s="521"/>
      <c r="P216" s="566"/>
      <c r="Y216" s="568"/>
    </row>
    <row r="217" spans="1:25" s="565" customFormat="1" ht="12.75">
      <c r="A217" s="25"/>
      <c r="B217" s="26"/>
      <c r="C217" s="521"/>
      <c r="D217" s="521"/>
      <c r="E217" s="521"/>
      <c r="F217" s="521"/>
      <c r="G217" s="521"/>
      <c r="H217" s="521"/>
      <c r="I217" s="521"/>
      <c r="J217" s="521"/>
      <c r="P217" s="566"/>
      <c r="Y217" s="568"/>
    </row>
    <row r="218" spans="1:25" s="565" customFormat="1" ht="12.75">
      <c r="A218" s="25"/>
      <c r="B218" s="26"/>
      <c r="C218" s="521"/>
      <c r="D218" s="521"/>
      <c r="E218" s="521"/>
      <c r="F218" s="521"/>
      <c r="G218" s="521"/>
      <c r="H218" s="521"/>
      <c r="I218" s="521"/>
      <c r="J218" s="521"/>
      <c r="P218" s="566"/>
      <c r="Y218" s="568"/>
    </row>
    <row r="219" spans="1:25" s="565" customFormat="1" ht="12.75">
      <c r="A219" s="25"/>
      <c r="B219" s="26"/>
      <c r="C219" s="521"/>
      <c r="D219" s="521"/>
      <c r="E219" s="521"/>
      <c r="F219" s="521"/>
      <c r="G219" s="521"/>
      <c r="H219" s="521"/>
      <c r="I219" s="521"/>
      <c r="J219" s="521"/>
      <c r="P219" s="566"/>
      <c r="Y219" s="568"/>
    </row>
    <row r="220" spans="1:25" s="565" customFormat="1" ht="12.75">
      <c r="A220" s="25"/>
      <c r="B220" s="26"/>
      <c r="C220" s="521"/>
      <c r="D220" s="521"/>
      <c r="E220" s="521"/>
      <c r="F220" s="521"/>
      <c r="G220" s="521"/>
      <c r="H220" s="521"/>
      <c r="I220" s="521"/>
      <c r="J220" s="521"/>
      <c r="P220" s="566"/>
      <c r="Y220" s="568"/>
    </row>
    <row r="221" spans="1:25" s="565" customFormat="1" ht="12.75">
      <c r="A221" s="25"/>
      <c r="B221" s="26"/>
      <c r="C221" s="521"/>
      <c r="D221" s="521"/>
      <c r="E221" s="521"/>
      <c r="F221" s="521"/>
      <c r="G221" s="521"/>
      <c r="H221" s="521"/>
      <c r="I221" s="521"/>
      <c r="J221" s="521"/>
      <c r="P221" s="566"/>
      <c r="Y221" s="568"/>
    </row>
    <row r="222" spans="1:25" s="565" customFormat="1" ht="12.75">
      <c r="A222" s="25"/>
      <c r="B222" s="26"/>
      <c r="C222" s="521"/>
      <c r="D222" s="521"/>
      <c r="E222" s="521"/>
      <c r="F222" s="521"/>
      <c r="G222" s="521"/>
      <c r="H222" s="521"/>
      <c r="I222" s="521"/>
      <c r="J222" s="521"/>
      <c r="P222" s="566"/>
      <c r="Y222" s="568"/>
    </row>
    <row r="223" spans="1:25" s="565" customFormat="1" ht="12.75">
      <c r="A223" s="25"/>
      <c r="B223" s="26"/>
      <c r="C223" s="521"/>
      <c r="D223" s="521"/>
      <c r="E223" s="521"/>
      <c r="F223" s="521"/>
      <c r="G223" s="521"/>
      <c r="H223" s="521"/>
      <c r="I223" s="521"/>
      <c r="J223" s="521"/>
      <c r="P223" s="566"/>
      <c r="Y223" s="568"/>
    </row>
    <row r="224" spans="1:25" s="565" customFormat="1" ht="12.75">
      <c r="A224" s="25"/>
      <c r="B224" s="26"/>
      <c r="C224" s="521"/>
      <c r="D224" s="521"/>
      <c r="E224" s="521"/>
      <c r="F224" s="521"/>
      <c r="G224" s="521"/>
      <c r="H224" s="521"/>
      <c r="I224" s="521"/>
      <c r="J224" s="521"/>
      <c r="P224" s="566"/>
      <c r="Y224" s="568"/>
    </row>
    <row r="225" spans="1:25" s="565" customFormat="1" ht="12.75">
      <c r="A225" s="25"/>
      <c r="B225" s="26"/>
      <c r="C225" s="521"/>
      <c r="D225" s="521"/>
      <c r="E225" s="521"/>
      <c r="F225" s="521"/>
      <c r="G225" s="521"/>
      <c r="H225" s="521"/>
      <c r="I225" s="521"/>
      <c r="J225" s="521"/>
      <c r="P225" s="566"/>
      <c r="Y225" s="568"/>
    </row>
    <row r="226" spans="1:25" s="565" customFormat="1" ht="12.75">
      <c r="A226" s="25"/>
      <c r="B226" s="26"/>
      <c r="C226" s="521"/>
      <c r="D226" s="521"/>
      <c r="E226" s="521"/>
      <c r="F226" s="521"/>
      <c r="G226" s="521"/>
      <c r="H226" s="521"/>
      <c r="I226" s="521"/>
      <c r="J226" s="521"/>
      <c r="P226" s="566"/>
      <c r="Y226" s="568"/>
    </row>
    <row r="227" spans="1:25" s="565" customFormat="1" ht="12.75">
      <c r="A227" s="25"/>
      <c r="B227" s="26"/>
      <c r="C227" s="521"/>
      <c r="D227" s="521"/>
      <c r="E227" s="521"/>
      <c r="F227" s="521"/>
      <c r="G227" s="521"/>
      <c r="H227" s="521"/>
      <c r="I227" s="521"/>
      <c r="J227" s="521"/>
      <c r="P227" s="566"/>
      <c r="Y227" s="568"/>
    </row>
    <row r="228" spans="1:25" s="565" customFormat="1" ht="12.75">
      <c r="A228" s="25"/>
      <c r="B228" s="26"/>
      <c r="C228" s="521"/>
      <c r="D228" s="521"/>
      <c r="E228" s="521"/>
      <c r="F228" s="521"/>
      <c r="G228" s="521"/>
      <c r="H228" s="521"/>
      <c r="I228" s="521"/>
      <c r="J228" s="521"/>
      <c r="P228" s="566"/>
      <c r="Y228" s="568"/>
    </row>
    <row r="229" spans="1:25" s="565" customFormat="1" ht="12.75">
      <c r="A229" s="25"/>
      <c r="B229" s="26"/>
      <c r="C229" s="521"/>
      <c r="D229" s="521"/>
      <c r="E229" s="521"/>
      <c r="F229" s="521"/>
      <c r="G229" s="521"/>
      <c r="H229" s="521"/>
      <c r="I229" s="521"/>
      <c r="J229" s="521"/>
      <c r="P229" s="566"/>
      <c r="Y229" s="568"/>
    </row>
    <row r="230" spans="1:25" s="565" customFormat="1" ht="12.75">
      <c r="A230" s="25"/>
      <c r="B230" s="26"/>
      <c r="C230" s="521"/>
      <c r="D230" s="521"/>
      <c r="E230" s="521"/>
      <c r="F230" s="521"/>
      <c r="G230" s="521"/>
      <c r="H230" s="521"/>
      <c r="I230" s="521"/>
      <c r="J230" s="521"/>
      <c r="P230" s="566"/>
      <c r="Y230" s="568"/>
    </row>
    <row r="231" spans="1:25" s="565" customFormat="1" ht="12.75">
      <c r="A231" s="25"/>
      <c r="B231" s="26"/>
      <c r="C231" s="521"/>
      <c r="D231" s="521"/>
      <c r="E231" s="521"/>
      <c r="F231" s="521"/>
      <c r="G231" s="521"/>
      <c r="H231" s="521"/>
      <c r="I231" s="521"/>
      <c r="J231" s="521"/>
      <c r="P231" s="566"/>
      <c r="Y231" s="568"/>
    </row>
    <row r="232" spans="1:25" s="565" customFormat="1" ht="12.75">
      <c r="A232" s="25"/>
      <c r="B232" s="26"/>
      <c r="C232" s="521"/>
      <c r="D232" s="521"/>
      <c r="E232" s="521"/>
      <c r="F232" s="521"/>
      <c r="G232" s="521"/>
      <c r="H232" s="521"/>
      <c r="I232" s="521"/>
      <c r="J232" s="521"/>
      <c r="P232" s="566"/>
      <c r="Y232" s="568"/>
    </row>
    <row r="233" spans="1:25" s="565" customFormat="1" ht="12.75">
      <c r="A233" s="25"/>
      <c r="B233" s="26"/>
      <c r="C233" s="521"/>
      <c r="D233" s="521"/>
      <c r="E233" s="521"/>
      <c r="F233" s="521"/>
      <c r="G233" s="521"/>
      <c r="H233" s="521"/>
      <c r="I233" s="521"/>
      <c r="J233" s="521"/>
      <c r="P233" s="566"/>
      <c r="Y233" s="568"/>
    </row>
    <row r="234" spans="1:25" s="565" customFormat="1" ht="12.75">
      <c r="A234" s="25"/>
      <c r="B234" s="26"/>
      <c r="C234" s="521"/>
      <c r="D234" s="521"/>
      <c r="E234" s="521"/>
      <c r="F234" s="521"/>
      <c r="G234" s="521"/>
      <c r="H234" s="521"/>
      <c r="I234" s="521"/>
      <c r="J234" s="521"/>
      <c r="P234" s="566"/>
      <c r="Y234" s="568"/>
    </row>
    <row r="235" spans="1:25" s="565" customFormat="1" ht="12.75">
      <c r="A235" s="25"/>
      <c r="B235" s="26"/>
      <c r="C235" s="521"/>
      <c r="D235" s="521"/>
      <c r="E235" s="521"/>
      <c r="F235" s="521"/>
      <c r="G235" s="521"/>
      <c r="H235" s="521"/>
      <c r="I235" s="521"/>
      <c r="J235" s="521"/>
      <c r="P235" s="566"/>
      <c r="Y235" s="568"/>
    </row>
    <row r="236" spans="1:25" s="565" customFormat="1" ht="12.75">
      <c r="A236" s="25"/>
      <c r="B236" s="26"/>
      <c r="C236" s="521"/>
      <c r="D236" s="521"/>
      <c r="E236" s="521"/>
      <c r="F236" s="521"/>
      <c r="G236" s="521"/>
      <c r="H236" s="521"/>
      <c r="I236" s="521"/>
      <c r="J236" s="521"/>
      <c r="P236" s="566"/>
      <c r="Y236" s="568"/>
    </row>
    <row r="237" spans="1:25" s="565" customFormat="1" ht="12.75">
      <c r="A237" s="25"/>
      <c r="B237" s="26"/>
      <c r="C237" s="521"/>
      <c r="D237" s="521"/>
      <c r="E237" s="521"/>
      <c r="F237" s="521"/>
      <c r="G237" s="521"/>
      <c r="H237" s="521"/>
      <c r="I237" s="521"/>
      <c r="J237" s="521"/>
      <c r="P237" s="566"/>
      <c r="Y237" s="568"/>
    </row>
    <row r="238" spans="1:25" s="565" customFormat="1" ht="12.75">
      <c r="A238" s="25"/>
      <c r="B238" s="26"/>
      <c r="C238" s="521"/>
      <c r="D238" s="521"/>
      <c r="E238" s="521"/>
      <c r="F238" s="521"/>
      <c r="G238" s="521"/>
      <c r="H238" s="521"/>
      <c r="I238" s="521"/>
      <c r="J238" s="521"/>
      <c r="P238" s="566"/>
      <c r="Y238" s="568"/>
    </row>
    <row r="239" spans="1:25" s="565" customFormat="1" ht="12.75">
      <c r="A239" s="25"/>
      <c r="B239" s="26"/>
      <c r="C239" s="521"/>
      <c r="D239" s="521"/>
      <c r="E239" s="521"/>
      <c r="F239" s="521"/>
      <c r="G239" s="521"/>
      <c r="H239" s="521"/>
      <c r="I239" s="521"/>
      <c r="J239" s="521"/>
      <c r="P239" s="566"/>
      <c r="Y239" s="568"/>
    </row>
    <row r="240" spans="1:25" s="565" customFormat="1" ht="12.75">
      <c r="A240" s="25"/>
      <c r="B240" s="26"/>
      <c r="C240" s="521"/>
      <c r="D240" s="521"/>
      <c r="E240" s="521"/>
      <c r="F240" s="521"/>
      <c r="G240" s="521"/>
      <c r="H240" s="521"/>
      <c r="I240" s="521"/>
      <c r="J240" s="521"/>
      <c r="P240" s="566"/>
      <c r="Y240" s="568"/>
    </row>
    <row r="241" spans="1:25" s="565" customFormat="1" ht="12.75">
      <c r="A241" s="25"/>
      <c r="B241" s="26"/>
      <c r="C241" s="521"/>
      <c r="D241" s="521"/>
      <c r="E241" s="521"/>
      <c r="F241" s="521"/>
      <c r="G241" s="521"/>
      <c r="H241" s="521"/>
      <c r="I241" s="521"/>
      <c r="J241" s="521"/>
      <c r="P241" s="566"/>
      <c r="Y241" s="568"/>
    </row>
    <row r="242" spans="1:25" s="565" customFormat="1" ht="12.75">
      <c r="A242" s="25"/>
      <c r="B242" s="26"/>
      <c r="C242" s="521"/>
      <c r="D242" s="521"/>
      <c r="E242" s="521"/>
      <c r="F242" s="521"/>
      <c r="G242" s="521"/>
      <c r="H242" s="521"/>
      <c r="I242" s="521"/>
      <c r="J242" s="521"/>
      <c r="P242" s="566"/>
      <c r="Y242" s="568"/>
    </row>
    <row r="243" spans="1:25" s="565" customFormat="1" ht="12.75">
      <c r="A243" s="25"/>
      <c r="B243" s="26"/>
      <c r="C243" s="521"/>
      <c r="D243" s="521"/>
      <c r="E243" s="521"/>
      <c r="F243" s="521"/>
      <c r="G243" s="521"/>
      <c r="H243" s="521"/>
      <c r="I243" s="521"/>
      <c r="J243" s="521"/>
      <c r="P243" s="566"/>
      <c r="Y243" s="568"/>
    </row>
    <row r="244" spans="1:25" s="565" customFormat="1" ht="12.75">
      <c r="A244" s="25"/>
      <c r="B244" s="26"/>
      <c r="C244" s="521"/>
      <c r="D244" s="521"/>
      <c r="E244" s="521"/>
      <c r="F244" s="521"/>
      <c r="G244" s="521"/>
      <c r="H244" s="521"/>
      <c r="I244" s="521"/>
      <c r="J244" s="521"/>
      <c r="P244" s="566"/>
      <c r="Y244" s="568"/>
    </row>
    <row r="245" spans="1:25" s="565" customFormat="1" ht="12.75">
      <c r="A245" s="25"/>
      <c r="B245" s="26"/>
      <c r="C245" s="521"/>
      <c r="D245" s="521"/>
      <c r="E245" s="521"/>
      <c r="F245" s="521"/>
      <c r="G245" s="521"/>
      <c r="H245" s="521"/>
      <c r="I245" s="521"/>
      <c r="J245" s="521"/>
      <c r="P245" s="566"/>
      <c r="Y245" s="568"/>
    </row>
    <row r="246" spans="1:25" s="565" customFormat="1" ht="12.75">
      <c r="A246" s="25"/>
      <c r="B246" s="26"/>
      <c r="C246" s="521"/>
      <c r="D246" s="521"/>
      <c r="E246" s="521"/>
      <c r="F246" s="521"/>
      <c r="G246" s="521"/>
      <c r="H246" s="521"/>
      <c r="I246" s="521"/>
      <c r="J246" s="521"/>
      <c r="P246" s="566"/>
      <c r="Y246" s="568"/>
    </row>
    <row r="247" spans="1:25" s="565" customFormat="1" ht="12.75">
      <c r="A247" s="25"/>
      <c r="B247" s="26"/>
      <c r="C247" s="521"/>
      <c r="D247" s="521"/>
      <c r="E247" s="521"/>
      <c r="F247" s="521"/>
      <c r="G247" s="521"/>
      <c r="H247" s="521"/>
      <c r="I247" s="521"/>
      <c r="J247" s="521"/>
      <c r="P247" s="566"/>
      <c r="Y247" s="568"/>
    </row>
    <row r="248" spans="1:25" s="565" customFormat="1" ht="12.75">
      <c r="A248" s="25"/>
      <c r="B248" s="26"/>
      <c r="C248" s="521"/>
      <c r="D248" s="521"/>
      <c r="E248" s="521"/>
      <c r="F248" s="521"/>
      <c r="G248" s="521"/>
      <c r="H248" s="521"/>
      <c r="I248" s="521"/>
      <c r="J248" s="521"/>
      <c r="P248" s="566"/>
      <c r="Y248" s="568"/>
    </row>
    <row r="249" spans="1:25" s="565" customFormat="1" ht="12.75">
      <c r="A249" s="25"/>
      <c r="B249" s="26"/>
      <c r="C249" s="521"/>
      <c r="D249" s="521"/>
      <c r="E249" s="521"/>
      <c r="F249" s="521"/>
      <c r="G249" s="521"/>
      <c r="H249" s="521"/>
      <c r="I249" s="521"/>
      <c r="J249" s="521"/>
      <c r="P249" s="566"/>
      <c r="Y249" s="568"/>
    </row>
    <row r="250" spans="1:25" s="565" customFormat="1" ht="12.75">
      <c r="A250" s="25"/>
      <c r="B250" s="26"/>
      <c r="C250" s="521"/>
      <c r="D250" s="521"/>
      <c r="E250" s="521"/>
      <c r="F250" s="521"/>
      <c r="G250" s="521"/>
      <c r="H250" s="521"/>
      <c r="I250" s="521"/>
      <c r="J250" s="521"/>
      <c r="P250" s="566"/>
      <c r="Y250" s="568"/>
    </row>
    <row r="251" spans="1:25" s="565" customFormat="1" ht="12.75">
      <c r="A251" s="25"/>
      <c r="B251" s="26"/>
      <c r="C251" s="521"/>
      <c r="D251" s="521"/>
      <c r="E251" s="521"/>
      <c r="F251" s="521"/>
      <c r="G251" s="521"/>
      <c r="H251" s="521"/>
      <c r="I251" s="521"/>
      <c r="J251" s="521"/>
      <c r="P251" s="566"/>
      <c r="Y251" s="568"/>
    </row>
    <row r="252" spans="1:25" s="565" customFormat="1" ht="12.75">
      <c r="A252" s="25"/>
      <c r="B252" s="26"/>
      <c r="C252" s="521"/>
      <c r="D252" s="521"/>
      <c r="E252" s="521"/>
      <c r="F252" s="521"/>
      <c r="G252" s="521"/>
      <c r="H252" s="521"/>
      <c r="I252" s="521"/>
      <c r="J252" s="521"/>
      <c r="P252" s="566"/>
      <c r="Y252" s="568"/>
    </row>
    <row r="253" spans="1:25" s="565" customFormat="1" ht="12.75">
      <c r="A253" s="25"/>
      <c r="B253" s="26"/>
      <c r="C253" s="521"/>
      <c r="D253" s="521"/>
      <c r="E253" s="521"/>
      <c r="F253" s="521"/>
      <c r="G253" s="521"/>
      <c r="H253" s="521"/>
      <c r="I253" s="521"/>
      <c r="J253" s="521"/>
      <c r="P253" s="566"/>
      <c r="Y253" s="568"/>
    </row>
    <row r="254" spans="1:25" s="565" customFormat="1" ht="12.75">
      <c r="A254" s="25"/>
      <c r="B254" s="26"/>
      <c r="C254" s="521"/>
      <c r="D254" s="521"/>
      <c r="E254" s="521"/>
      <c r="F254" s="521"/>
      <c r="G254" s="521"/>
      <c r="H254" s="521"/>
      <c r="I254" s="521"/>
      <c r="J254" s="521"/>
      <c r="P254" s="566"/>
      <c r="Y254" s="568"/>
    </row>
    <row r="255" spans="1:25" s="565" customFormat="1" ht="12.75">
      <c r="A255" s="25"/>
      <c r="B255" s="26"/>
      <c r="C255" s="521"/>
      <c r="D255" s="521"/>
      <c r="E255" s="521"/>
      <c r="F255" s="521"/>
      <c r="G255" s="521"/>
      <c r="H255" s="521"/>
      <c r="I255" s="521"/>
      <c r="J255" s="521"/>
      <c r="P255" s="566"/>
      <c r="Y255" s="568"/>
    </row>
    <row r="256" spans="1:25" s="565" customFormat="1" ht="12.75">
      <c r="A256" s="25"/>
      <c r="B256" s="26"/>
      <c r="C256" s="521"/>
      <c r="D256" s="521"/>
      <c r="E256" s="521"/>
      <c r="F256" s="521"/>
      <c r="G256" s="521"/>
      <c r="H256" s="521"/>
      <c r="I256" s="521"/>
      <c r="J256" s="521"/>
      <c r="P256" s="566"/>
      <c r="Y256" s="568"/>
    </row>
    <row r="257" spans="1:25" s="565" customFormat="1" ht="12.75">
      <c r="A257" s="25"/>
      <c r="B257" s="26"/>
      <c r="C257" s="521"/>
      <c r="D257" s="521"/>
      <c r="E257" s="521"/>
      <c r="F257" s="521"/>
      <c r="G257" s="521"/>
      <c r="H257" s="521"/>
      <c r="I257" s="521"/>
      <c r="J257" s="521"/>
      <c r="P257" s="566"/>
      <c r="Y257" s="568"/>
    </row>
    <row r="258" spans="1:25" s="565" customFormat="1" ht="12.75">
      <c r="A258" s="25"/>
      <c r="B258" s="26"/>
      <c r="C258" s="521"/>
      <c r="D258" s="521"/>
      <c r="E258" s="521"/>
      <c r="F258" s="521"/>
      <c r="G258" s="521"/>
      <c r="H258" s="521"/>
      <c r="I258" s="521"/>
      <c r="J258" s="521"/>
      <c r="P258" s="566"/>
      <c r="Y258" s="568"/>
    </row>
  </sheetData>
  <sheetProtection/>
  <mergeCells count="54">
    <mergeCell ref="C11:C12"/>
    <mergeCell ref="AE10:AE12"/>
    <mergeCell ref="D11:D12"/>
    <mergeCell ref="H11:H12"/>
    <mergeCell ref="I11:I12"/>
    <mergeCell ref="K11:K12"/>
    <mergeCell ref="E10:F10"/>
    <mergeCell ref="G10:G12"/>
    <mergeCell ref="E11:E12"/>
    <mergeCell ref="F11:F12"/>
    <mergeCell ref="Q11:Q12"/>
    <mergeCell ref="Z10:AA10"/>
    <mergeCell ref="AB10:AB12"/>
    <mergeCell ref="T11:T12"/>
    <mergeCell ref="U11:U12"/>
    <mergeCell ref="Q10:R10"/>
    <mergeCell ref="R11:R12"/>
    <mergeCell ref="S10:S12"/>
    <mergeCell ref="T10:U10"/>
    <mergeCell ref="W10:X10"/>
    <mergeCell ref="AA11:AA12"/>
    <mergeCell ref="AC11:AC12"/>
    <mergeCell ref="AD11:AD12"/>
    <mergeCell ref="V10:V12"/>
    <mergeCell ref="W11:W12"/>
    <mergeCell ref="X11:X12"/>
    <mergeCell ref="Y10:Y12"/>
    <mergeCell ref="Z11:Z12"/>
    <mergeCell ref="AC9:AE9"/>
    <mergeCell ref="A10:A12"/>
    <mergeCell ref="B10:B12"/>
    <mergeCell ref="C10:D10"/>
    <mergeCell ref="H10:I10"/>
    <mergeCell ref="J10:J12"/>
    <mergeCell ref="K10:L10"/>
    <mergeCell ref="M10:M12"/>
    <mergeCell ref="AC10:AD10"/>
    <mergeCell ref="N10:O10"/>
    <mergeCell ref="K9:M9"/>
    <mergeCell ref="N9:P9"/>
    <mergeCell ref="L11:L12"/>
    <mergeCell ref="N11:N12"/>
    <mergeCell ref="O11:O12"/>
    <mergeCell ref="P10:P12"/>
    <mergeCell ref="A1:B1"/>
    <mergeCell ref="A2:B2"/>
    <mergeCell ref="A6:D6"/>
    <mergeCell ref="H9:J9"/>
    <mergeCell ref="C9:D9"/>
    <mergeCell ref="E9:G9"/>
    <mergeCell ref="Q9:S9"/>
    <mergeCell ref="T9:V9"/>
    <mergeCell ref="W9:Y9"/>
    <mergeCell ref="Z9:AB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.00390625" style="749" customWidth="1"/>
    <col min="2" max="2" width="27.57421875" style="749" customWidth="1"/>
    <col min="3" max="3" width="19.57421875" style="749" customWidth="1"/>
    <col min="4" max="5" width="19.57421875" style="767" customWidth="1"/>
    <col min="6" max="7" width="19.57421875" style="749" customWidth="1"/>
    <col min="8" max="16384" width="9.140625" style="749" customWidth="1"/>
  </cols>
  <sheetData>
    <row r="1" spans="4:6" ht="15">
      <c r="D1" s="749"/>
      <c r="E1" s="201"/>
      <c r="F1" s="202"/>
    </row>
    <row r="2" spans="2:6" ht="18">
      <c r="B2" s="751" t="s">
        <v>445</v>
      </c>
      <c r="C2" s="750"/>
      <c r="D2" s="750"/>
      <c r="E2" s="750"/>
      <c r="F2" s="750"/>
    </row>
    <row r="3" spans="1:6" ht="17.25">
      <c r="A3" s="688"/>
      <c r="B3" s="751"/>
      <c r="C3" s="751"/>
      <c r="D3" s="751"/>
      <c r="E3" s="752"/>
      <c r="F3" s="751"/>
    </row>
    <row r="4" spans="1:6" ht="17.25">
      <c r="A4" s="688"/>
      <c r="B4" s="751"/>
      <c r="C4" s="751"/>
      <c r="D4" s="751"/>
      <c r="E4" s="752"/>
      <c r="F4" s="751"/>
    </row>
    <row r="5" spans="1:22" ht="18.75">
      <c r="A5" s="897" t="s">
        <v>737</v>
      </c>
      <c r="B5" s="897"/>
      <c r="C5" s="897"/>
      <c r="D5" s="897"/>
      <c r="E5" s="897"/>
      <c r="F5" s="897"/>
      <c r="G5" s="897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</row>
    <row r="6" spans="2:22" ht="18.75">
      <c r="B6" s="753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</row>
    <row r="7" spans="1:7" s="755" customFormat="1" ht="16.5" customHeight="1">
      <c r="A7" s="898"/>
      <c r="B7" s="898" t="s">
        <v>0</v>
      </c>
      <c r="C7" s="898" t="s">
        <v>738</v>
      </c>
      <c r="D7" s="898" t="s">
        <v>732</v>
      </c>
      <c r="E7" s="898" t="s">
        <v>733</v>
      </c>
      <c r="F7" s="898"/>
      <c r="G7" s="898"/>
    </row>
    <row r="8" spans="1:7" s="755" customFormat="1" ht="16.5" customHeight="1">
      <c r="A8" s="898"/>
      <c r="B8" s="898"/>
      <c r="C8" s="898"/>
      <c r="D8" s="898"/>
      <c r="E8" s="898" t="s">
        <v>740</v>
      </c>
      <c r="F8" s="898" t="s">
        <v>293</v>
      </c>
      <c r="G8" s="898"/>
    </row>
    <row r="9" spans="1:7" s="755" customFormat="1" ht="16.5" customHeight="1">
      <c r="A9" s="898"/>
      <c r="B9" s="898"/>
      <c r="C9" s="898"/>
      <c r="D9" s="898"/>
      <c r="E9" s="898"/>
      <c r="F9" s="754" t="s">
        <v>739</v>
      </c>
      <c r="G9" s="754" t="s">
        <v>364</v>
      </c>
    </row>
    <row r="10" spans="1:7" s="758" customFormat="1" ht="16.5" customHeight="1">
      <c r="A10" s="756">
        <v>1</v>
      </c>
      <c r="B10" s="757">
        <v>2</v>
      </c>
      <c r="C10" s="757"/>
      <c r="D10" s="756">
        <v>3</v>
      </c>
      <c r="E10" s="757">
        <v>4</v>
      </c>
      <c r="F10" s="756">
        <v>9</v>
      </c>
      <c r="G10" s="769"/>
    </row>
    <row r="11" spans="1:7" s="755" customFormat="1" ht="16.5" customHeight="1">
      <c r="A11" s="770" t="s">
        <v>18</v>
      </c>
      <c r="B11" s="771" t="s">
        <v>145</v>
      </c>
      <c r="C11" s="772">
        <f>D11+E11</f>
        <v>166613434390</v>
      </c>
      <c r="D11" s="773">
        <f>SUM(D12:D15)</f>
        <v>123126577635</v>
      </c>
      <c r="E11" s="773">
        <f>SUM(E12:E15)</f>
        <v>43486856755</v>
      </c>
      <c r="F11" s="773">
        <f>SUM(F12:F15)</f>
        <v>42768856755</v>
      </c>
      <c r="G11" s="773">
        <f>SUM(G12:G15)</f>
        <v>718000000</v>
      </c>
    </row>
    <row r="12" spans="1:7" s="755" customFormat="1" ht="16.5" customHeight="1">
      <c r="A12" s="756">
        <v>1</v>
      </c>
      <c r="B12" s="775" t="s">
        <v>734</v>
      </c>
      <c r="C12" s="772">
        <f>D12+E12</f>
        <v>42768856755</v>
      </c>
      <c r="D12" s="776"/>
      <c r="E12" s="773">
        <f>F12+G12</f>
        <v>42768856755</v>
      </c>
      <c r="F12" s="776">
        <f>'PL08-B03'!E65</f>
        <v>42768856755</v>
      </c>
      <c r="G12" s="777"/>
    </row>
    <row r="13" spans="1:7" s="755" customFormat="1" ht="16.5" customHeight="1">
      <c r="A13" s="756">
        <v>2</v>
      </c>
      <c r="B13" s="775" t="s">
        <v>735</v>
      </c>
      <c r="C13" s="772">
        <f>D13+E13</f>
        <v>88255976871</v>
      </c>
      <c r="D13" s="776">
        <f>'PL08-B03'!G66+'PL08-B03'!H66</f>
        <v>87537976871</v>
      </c>
      <c r="E13" s="773">
        <f>F13+G13</f>
        <v>718000000</v>
      </c>
      <c r="F13" s="776"/>
      <c r="G13" s="774">
        <f>'PL08-B03'!F66</f>
        <v>718000000</v>
      </c>
    </row>
    <row r="14" spans="1:7" s="755" customFormat="1" ht="16.5" customHeight="1">
      <c r="A14" s="756">
        <v>3</v>
      </c>
      <c r="B14" s="775" t="s">
        <v>736</v>
      </c>
      <c r="C14" s="772">
        <f>D14+E14</f>
        <v>3900000000</v>
      </c>
      <c r="D14" s="776">
        <f>'PL08-B03'!H67</f>
        <v>3900000000</v>
      </c>
      <c r="E14" s="773">
        <f>F14+G14</f>
        <v>0</v>
      </c>
      <c r="F14" s="776"/>
      <c r="G14" s="777"/>
    </row>
    <row r="15" spans="1:7" s="755" customFormat="1" ht="16.5" customHeight="1">
      <c r="A15" s="756">
        <v>4</v>
      </c>
      <c r="B15" s="775" t="s">
        <v>394</v>
      </c>
      <c r="C15" s="772">
        <f>D15+E15</f>
        <v>31688600764</v>
      </c>
      <c r="D15" s="776">
        <f>'PL08-B03'!F68</f>
        <v>31688600764</v>
      </c>
      <c r="E15" s="773">
        <f>F15+G15</f>
        <v>0</v>
      </c>
      <c r="F15" s="776"/>
      <c r="G15" s="777"/>
    </row>
    <row r="16" spans="2:6" s="755" customFormat="1" ht="15" customHeight="1">
      <c r="B16" s="759"/>
      <c r="C16" s="759"/>
      <c r="D16" s="760"/>
      <c r="E16" s="760"/>
      <c r="F16" s="760"/>
    </row>
    <row r="17" spans="1:6" s="762" customFormat="1" ht="15.75" customHeight="1">
      <c r="A17" s="202"/>
      <c r="B17" s="753"/>
      <c r="C17" s="753"/>
      <c r="D17" s="202"/>
      <c r="E17" s="761"/>
      <c r="F17" s="202"/>
    </row>
    <row r="18" spans="1:6" s="763" customFormat="1" ht="26.25" customHeight="1">
      <c r="A18" s="751"/>
      <c r="B18" s="751" t="s">
        <v>208</v>
      </c>
      <c r="C18" s="751"/>
      <c r="D18" s="751"/>
      <c r="E18" s="751"/>
      <c r="F18" s="688" t="s">
        <v>741</v>
      </c>
    </row>
    <row r="19" spans="1:6" s="762" customFormat="1" ht="19.5" customHeight="1">
      <c r="A19" s="688"/>
      <c r="B19" s="764"/>
      <c r="C19" s="764"/>
      <c r="D19" s="764"/>
      <c r="E19" s="764"/>
      <c r="F19" s="765" t="s">
        <v>188</v>
      </c>
    </row>
    <row r="20" spans="2:6" ht="15">
      <c r="B20" s="766"/>
      <c r="C20" s="766"/>
      <c r="D20" s="201"/>
      <c r="E20" s="201"/>
      <c r="F20" s="202"/>
    </row>
    <row r="21" spans="2:6" ht="15">
      <c r="B21" s="766"/>
      <c r="C21" s="766"/>
      <c r="D21" s="201"/>
      <c r="E21" s="201"/>
      <c r="F21" s="202"/>
    </row>
  </sheetData>
  <sheetProtection/>
  <mergeCells count="8">
    <mergeCell ref="A5:G5"/>
    <mergeCell ref="A7:A9"/>
    <mergeCell ref="B7:B9"/>
    <mergeCell ref="D7:D9"/>
    <mergeCell ref="C7:C9"/>
    <mergeCell ref="E7:G7"/>
    <mergeCell ref="E8:E9"/>
    <mergeCell ref="F8:G8"/>
  </mergeCells>
  <printOptions/>
  <pageMargins left="0.7" right="0.7" top="0.61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zoomScalePageLayoutView="0" workbookViewId="0" topLeftCell="A6">
      <pane xSplit="2" ySplit="7" topLeftCell="C61" activePane="bottomRight" state="frozen"/>
      <selection pane="topLeft" activeCell="A6" sqref="A6"/>
      <selection pane="topRight" activeCell="C6" sqref="C6"/>
      <selection pane="bottomLeft" activeCell="A13" sqref="A13"/>
      <selection pane="bottomRight" activeCell="E80" sqref="E80"/>
    </sheetView>
  </sheetViews>
  <sheetFormatPr defaultColWidth="9.140625" defaultRowHeight="12.75"/>
  <cols>
    <col min="1" max="1" width="5.8515625" style="735" customWidth="1"/>
    <col min="2" max="2" width="38.8515625" style="388" customWidth="1"/>
    <col min="3" max="3" width="17.00390625" style="736" customWidth="1"/>
    <col min="4" max="4" width="17.140625" style="736" customWidth="1"/>
    <col min="5" max="5" width="17.421875" style="737" customWidth="1"/>
    <col min="6" max="6" width="15.00390625" style="714" customWidth="1"/>
    <col min="7" max="7" width="19.57421875" style="736" customWidth="1"/>
    <col min="8" max="8" width="19.00390625" style="736" customWidth="1"/>
    <col min="9" max="9" width="18.00390625" style="736" customWidth="1"/>
    <col min="10" max="10" width="7.57421875" style="736" customWidth="1"/>
    <col min="11" max="11" width="6.57421875" style="737" customWidth="1"/>
    <col min="12" max="12" width="21.28125" style="716" bestFit="1" customWidth="1"/>
    <col min="13" max="16384" width="9.140625" style="165" customWidth="1"/>
  </cols>
  <sheetData>
    <row r="1" spans="1:11" ht="12.75">
      <c r="A1" s="713"/>
      <c r="B1" s="479" t="s">
        <v>445</v>
      </c>
      <c r="C1" s="714"/>
      <c r="D1" s="714"/>
      <c r="E1" s="714"/>
      <c r="G1" s="714"/>
      <c r="H1" s="714"/>
      <c r="I1" s="714"/>
      <c r="J1" s="814" t="s">
        <v>11</v>
      </c>
      <c r="K1" s="814"/>
    </row>
    <row r="2" spans="1:11" ht="12.75">
      <c r="A2" s="713"/>
      <c r="B2" s="717" t="s">
        <v>446</v>
      </c>
      <c r="C2" s="714"/>
      <c r="D2" s="714"/>
      <c r="E2" s="714"/>
      <c r="G2" s="714"/>
      <c r="H2" s="714"/>
      <c r="I2" s="714"/>
      <c r="J2" s="714"/>
      <c r="K2" s="714"/>
    </row>
    <row r="3" spans="1:11" ht="12.75">
      <c r="A3" s="713"/>
      <c r="C3" s="714"/>
      <c r="D3" s="714"/>
      <c r="E3" s="714"/>
      <c r="G3" s="714"/>
      <c r="H3" s="714"/>
      <c r="I3" s="714"/>
      <c r="J3" s="714"/>
      <c r="K3" s="714"/>
    </row>
    <row r="4" spans="1:11" ht="12.75" hidden="1">
      <c r="A4" s="713"/>
      <c r="C4" s="714"/>
      <c r="D4" s="714"/>
      <c r="E4" s="714"/>
      <c r="G4" s="714"/>
      <c r="H4" s="714"/>
      <c r="I4" s="714"/>
      <c r="J4" s="714"/>
      <c r="K4" s="714"/>
    </row>
    <row r="5" spans="1:11" ht="12.75" hidden="1">
      <c r="A5" s="713"/>
      <c r="C5" s="714"/>
      <c r="D5" s="714"/>
      <c r="E5" s="714"/>
      <c r="G5" s="714"/>
      <c r="H5" s="714"/>
      <c r="I5" s="714"/>
      <c r="J5" s="714"/>
      <c r="K5" s="714"/>
    </row>
    <row r="6" spans="1:11" ht="22.5" customHeight="1">
      <c r="A6" s="713"/>
      <c r="B6" s="809" t="s">
        <v>701</v>
      </c>
      <c r="C6" s="809"/>
      <c r="D6" s="809"/>
      <c r="E6" s="809"/>
      <c r="F6" s="809"/>
      <c r="G6" s="809"/>
      <c r="H6" s="809"/>
      <c r="I6" s="809"/>
      <c r="J6" s="809"/>
      <c r="K6" s="809"/>
    </row>
    <row r="7" spans="1:11" ht="6" customHeight="1" hidden="1">
      <c r="A7" s="718"/>
      <c r="C7" s="389"/>
      <c r="D7" s="389"/>
      <c r="E7" s="389" t="s">
        <v>198</v>
      </c>
      <c r="F7" s="389"/>
      <c r="G7" s="389"/>
      <c r="H7" s="389"/>
      <c r="I7" s="389"/>
      <c r="J7" s="389"/>
      <c r="K7" s="389"/>
    </row>
    <row r="8" spans="1:11" ht="12.75">
      <c r="A8" s="718"/>
      <c r="B8" s="714"/>
      <c r="C8" s="719"/>
      <c r="D8" s="389"/>
      <c r="E8" s="389"/>
      <c r="F8" s="389"/>
      <c r="G8" s="389"/>
      <c r="H8" s="384"/>
      <c r="I8" s="384"/>
      <c r="J8" s="389"/>
      <c r="K8" s="389"/>
    </row>
    <row r="9" spans="1:11" ht="12.75">
      <c r="A9" s="720"/>
      <c r="B9" s="714"/>
      <c r="C9" s="714"/>
      <c r="D9" s="714"/>
      <c r="E9" s="721">
        <f>E13-4167132967472</f>
        <v>30269827903</v>
      </c>
      <c r="G9" s="714"/>
      <c r="H9" s="722"/>
      <c r="I9" s="393"/>
      <c r="J9" s="714"/>
      <c r="K9" s="714" t="s">
        <v>199</v>
      </c>
    </row>
    <row r="10" spans="1:12" s="707" customFormat="1" ht="24.75" customHeight="1">
      <c r="A10" s="820" t="s">
        <v>12</v>
      </c>
      <c r="B10" s="822" t="s">
        <v>0</v>
      </c>
      <c r="C10" s="815" t="s">
        <v>9</v>
      </c>
      <c r="D10" s="815"/>
      <c r="E10" s="815" t="s">
        <v>10</v>
      </c>
      <c r="F10" s="815" t="s">
        <v>3</v>
      </c>
      <c r="G10" s="815"/>
      <c r="H10" s="815"/>
      <c r="I10" s="815"/>
      <c r="J10" s="815" t="s">
        <v>8</v>
      </c>
      <c r="K10" s="815"/>
      <c r="L10" s="706"/>
    </row>
    <row r="11" spans="1:12" s="707" customFormat="1" ht="48" customHeight="1">
      <c r="A11" s="821"/>
      <c r="B11" s="823"/>
      <c r="C11" s="705" t="s">
        <v>1</v>
      </c>
      <c r="D11" s="705" t="s">
        <v>2</v>
      </c>
      <c r="E11" s="815"/>
      <c r="F11" s="705" t="s">
        <v>4</v>
      </c>
      <c r="G11" s="705" t="s">
        <v>5</v>
      </c>
      <c r="H11" s="705" t="s">
        <v>6</v>
      </c>
      <c r="I11" s="705" t="s">
        <v>7</v>
      </c>
      <c r="J11" s="705" t="s">
        <v>1</v>
      </c>
      <c r="K11" s="705" t="s">
        <v>2</v>
      </c>
      <c r="L11" s="706"/>
    </row>
    <row r="12" spans="1:12" s="712" customFormat="1" ht="13.5">
      <c r="A12" s="708" t="s">
        <v>13</v>
      </c>
      <c r="B12" s="709" t="s">
        <v>14</v>
      </c>
      <c r="C12" s="710">
        <v>1</v>
      </c>
      <c r="D12" s="710">
        <v>2</v>
      </c>
      <c r="E12" s="710" t="s">
        <v>15</v>
      </c>
      <c r="F12" s="710">
        <v>4</v>
      </c>
      <c r="G12" s="710">
        <v>5</v>
      </c>
      <c r="H12" s="710">
        <v>6</v>
      </c>
      <c r="I12" s="710">
        <v>7</v>
      </c>
      <c r="J12" s="710">
        <v>8</v>
      </c>
      <c r="K12" s="705">
        <v>9</v>
      </c>
      <c r="L12" s="711"/>
    </row>
    <row r="13" spans="1:12" s="690" customFormat="1" ht="13.5">
      <c r="A13" s="739" t="s">
        <v>16</v>
      </c>
      <c r="B13" s="740" t="s">
        <v>313</v>
      </c>
      <c r="C13" s="378">
        <f>C14+C103</f>
        <v>1995000000000</v>
      </c>
      <c r="D13" s="378">
        <f>D14+D103</f>
        <v>2580000000000</v>
      </c>
      <c r="E13" s="378">
        <f>(E14+E103)</f>
        <v>4197402795375</v>
      </c>
      <c r="F13" s="378">
        <f>(F14+F103)</f>
        <v>243614541456</v>
      </c>
      <c r="G13" s="378">
        <f>(G14+G103)</f>
        <v>2420394582332</v>
      </c>
      <c r="H13" s="378">
        <f>(H14+H103)</f>
        <v>1013763996740</v>
      </c>
      <c r="I13" s="378">
        <f>(I14+I103)</f>
        <v>519629674847</v>
      </c>
      <c r="J13" s="378">
        <f>(E13/C13)*100</f>
        <v>210.39613009398494</v>
      </c>
      <c r="K13" s="378">
        <f>(E13/D13)*100</f>
        <v>162.69003082848837</v>
      </c>
      <c r="L13" s="689"/>
    </row>
    <row r="14" spans="1:12" s="690" customFormat="1" ht="13.5">
      <c r="A14" s="741" t="s">
        <v>13</v>
      </c>
      <c r="B14" s="742" t="s">
        <v>17</v>
      </c>
      <c r="C14" s="379">
        <f>C15+C93</f>
        <v>1995000000000</v>
      </c>
      <c r="D14" s="379">
        <f>D15+D93+D102</f>
        <v>2280000000000</v>
      </c>
      <c r="E14" s="379">
        <f>E15+E93+E100+E101+E102</f>
        <v>4028771328664</v>
      </c>
      <c r="F14" s="379">
        <f>SUBTOTAL(9,F15:F102)</f>
        <v>243614541456</v>
      </c>
      <c r="G14" s="379">
        <f>SUBTOTAL(9,G15:G102)</f>
        <v>2362623425992</v>
      </c>
      <c r="H14" s="379">
        <f>SUBTOTAL(9,H15:H102)</f>
        <v>989482013240</v>
      </c>
      <c r="I14" s="379">
        <f>SUBTOTAL(9,I15:I102)</f>
        <v>433051347976</v>
      </c>
      <c r="J14" s="379">
        <f>(E14/C14)*100</f>
        <v>201.9434249956892</v>
      </c>
      <c r="K14" s="379">
        <f>(E14/D14)*100</f>
        <v>176.70049687122807</v>
      </c>
      <c r="L14" s="689"/>
    </row>
    <row r="15" spans="1:12" s="690" customFormat="1" ht="13.5">
      <c r="A15" s="741" t="s">
        <v>18</v>
      </c>
      <c r="B15" s="742" t="s">
        <v>19</v>
      </c>
      <c r="C15" s="379">
        <f>C16+C33+C41+C56+C57+C58+C59+C66+C73+C80</f>
        <v>1605000000000</v>
      </c>
      <c r="D15" s="379">
        <f>D16+D33+D41+D56+D57+D58+D59+D66+D73+D80</f>
        <v>1810000000000</v>
      </c>
      <c r="E15" s="379">
        <f>E16+E33+E41+E56+E57+E58+E59+E66+E73+E80</f>
        <v>2426369394110</v>
      </c>
      <c r="F15" s="379">
        <f>SUBTOTAL(9,F16:F92)</f>
        <v>54410279337</v>
      </c>
      <c r="G15" s="379">
        <f>SUBTOTAL(9,G16:G92)</f>
        <v>1449576278029</v>
      </c>
      <c r="H15" s="379">
        <f>SUBTOTAL(9,H16:H92)</f>
        <v>613424414184</v>
      </c>
      <c r="I15" s="379">
        <f>SUBTOTAL(9,I16:I92)</f>
        <v>308958422560</v>
      </c>
      <c r="J15" s="379">
        <f>(E15/C15)*100</f>
        <v>151.17566318442368</v>
      </c>
      <c r="K15" s="379">
        <f>(E15/D15)*100</f>
        <v>134.05355768563535</v>
      </c>
      <c r="L15" s="689">
        <f>I15-302444011120</f>
        <v>6514411440</v>
      </c>
    </row>
    <row r="16" spans="1:12" s="690" customFormat="1" ht="13.5">
      <c r="A16" s="741" t="s">
        <v>20</v>
      </c>
      <c r="B16" s="742" t="s">
        <v>21</v>
      </c>
      <c r="C16" s="379">
        <f>SUBTOTAL(9,C17:C31)</f>
        <v>295000000000</v>
      </c>
      <c r="D16" s="379">
        <f aca="true" t="shared" si="0" ref="D16:I16">SUBTOTAL(9,D17:D31)</f>
        <v>300000000000</v>
      </c>
      <c r="E16" s="379">
        <f>E17+E25</f>
        <v>280824363218</v>
      </c>
      <c r="F16" s="379">
        <f t="shared" si="0"/>
        <v>113519343</v>
      </c>
      <c r="G16" s="379">
        <f t="shared" si="0"/>
        <v>277503909760</v>
      </c>
      <c r="H16" s="379">
        <f t="shared" si="0"/>
        <v>3185464840</v>
      </c>
      <c r="I16" s="379">
        <f t="shared" si="0"/>
        <v>21469275</v>
      </c>
      <c r="J16" s="379">
        <f>(E16/C16)*100</f>
        <v>95.1946993959322</v>
      </c>
      <c r="K16" s="379">
        <f>(E16/D16)*100</f>
        <v>93.60812107266666</v>
      </c>
      <c r="L16" s="689">
        <f>L15-G64</f>
        <v>-12916071110</v>
      </c>
    </row>
    <row r="17" spans="1:12" s="692" customFormat="1" ht="14.25">
      <c r="A17" s="743" t="s">
        <v>22</v>
      </c>
      <c r="B17" s="744" t="s">
        <v>562</v>
      </c>
      <c r="C17" s="379">
        <f aca="true" t="shared" si="1" ref="C17:I17">SUBTOTAL(9,C18:C24)</f>
        <v>135000000000</v>
      </c>
      <c r="D17" s="379">
        <f t="shared" si="1"/>
        <v>140000000000</v>
      </c>
      <c r="E17" s="379">
        <f t="shared" si="1"/>
        <v>138939709706</v>
      </c>
      <c r="F17" s="379">
        <f t="shared" si="1"/>
        <v>113519343</v>
      </c>
      <c r="G17" s="379">
        <f t="shared" si="1"/>
        <v>138826190363</v>
      </c>
      <c r="H17" s="379">
        <f t="shared" si="1"/>
        <v>0</v>
      </c>
      <c r="I17" s="379">
        <f t="shared" si="1"/>
        <v>0</v>
      </c>
      <c r="J17" s="379">
        <v>0</v>
      </c>
      <c r="K17" s="379">
        <v>0</v>
      </c>
      <c r="L17" s="691"/>
    </row>
    <row r="18" spans="1:12" s="694" customFormat="1" ht="13.5">
      <c r="A18" s="745" t="s">
        <v>23</v>
      </c>
      <c r="B18" s="746" t="s">
        <v>24</v>
      </c>
      <c r="C18" s="381">
        <v>119200000000</v>
      </c>
      <c r="D18" s="381">
        <v>124200000000</v>
      </c>
      <c r="E18" s="381">
        <f>SUM(F18:I18)</f>
        <v>117982206074</v>
      </c>
      <c r="F18" s="381">
        <v>0</v>
      </c>
      <c r="G18" s="663">
        <v>117982206074</v>
      </c>
      <c r="H18" s="381">
        <v>0</v>
      </c>
      <c r="I18" s="381">
        <v>0</v>
      </c>
      <c r="J18" s="379">
        <v>0</v>
      </c>
      <c r="K18" s="379">
        <v>0</v>
      </c>
      <c r="L18" s="693"/>
    </row>
    <row r="19" spans="1:12" s="694" customFormat="1" ht="13.5">
      <c r="A19" s="745" t="s">
        <v>25</v>
      </c>
      <c r="B19" s="746" t="s">
        <v>26</v>
      </c>
      <c r="C19" s="381"/>
      <c r="D19" s="381"/>
      <c r="E19" s="381">
        <f aca="true" t="shared" si="2" ref="E19:E40">SUM(F19:I19)</f>
        <v>0</v>
      </c>
      <c r="F19" s="381">
        <v>0</v>
      </c>
      <c r="G19" s="381">
        <v>0</v>
      </c>
      <c r="H19" s="381">
        <v>0</v>
      </c>
      <c r="I19" s="381">
        <v>0</v>
      </c>
      <c r="J19" s="379">
        <v>0</v>
      </c>
      <c r="K19" s="379">
        <v>0</v>
      </c>
      <c r="L19" s="693"/>
    </row>
    <row r="20" spans="1:12" s="694" customFormat="1" ht="13.5">
      <c r="A20" s="745" t="s">
        <v>27</v>
      </c>
      <c r="B20" s="746" t="s">
        <v>28</v>
      </c>
      <c r="C20" s="381">
        <v>6300000000</v>
      </c>
      <c r="D20" s="381">
        <v>6300000000</v>
      </c>
      <c r="E20" s="381">
        <f t="shared" si="2"/>
        <v>4616137585</v>
      </c>
      <c r="F20" s="381">
        <v>0</v>
      </c>
      <c r="G20" s="381">
        <v>4616137585</v>
      </c>
      <c r="H20" s="381">
        <v>0</v>
      </c>
      <c r="I20" s="381">
        <v>0</v>
      </c>
      <c r="J20" s="379">
        <v>0</v>
      </c>
      <c r="K20" s="379">
        <v>0</v>
      </c>
      <c r="L20" s="723">
        <v>302919304460</v>
      </c>
    </row>
    <row r="21" spans="1:12" s="694" customFormat="1" ht="13.5">
      <c r="A21" s="745" t="s">
        <v>29</v>
      </c>
      <c r="B21" s="746" t="s">
        <v>30</v>
      </c>
      <c r="C21" s="381"/>
      <c r="D21" s="381"/>
      <c r="E21" s="381">
        <f t="shared" si="2"/>
        <v>0</v>
      </c>
      <c r="F21" s="381">
        <v>0</v>
      </c>
      <c r="G21" s="381">
        <v>0</v>
      </c>
      <c r="H21" s="381">
        <v>0</v>
      </c>
      <c r="I21" s="381">
        <v>0</v>
      </c>
      <c r="J21" s="379">
        <v>0</v>
      </c>
      <c r="K21" s="379">
        <v>0</v>
      </c>
      <c r="L21" s="693">
        <f>I15-L20</f>
        <v>6039118100</v>
      </c>
    </row>
    <row r="22" spans="1:12" s="694" customFormat="1" ht="13.5">
      <c r="A22" s="745" t="s">
        <v>31</v>
      </c>
      <c r="B22" s="746" t="s">
        <v>32</v>
      </c>
      <c r="C22" s="381">
        <v>8700000000</v>
      </c>
      <c r="D22" s="381">
        <v>8700000000</v>
      </c>
      <c r="E22" s="381">
        <f t="shared" si="2"/>
        <v>15926514741</v>
      </c>
      <c r="F22" s="381">
        <v>0</v>
      </c>
      <c r="G22" s="381">
        <v>15926514741</v>
      </c>
      <c r="H22" s="381">
        <v>0</v>
      </c>
      <c r="I22" s="381">
        <v>0</v>
      </c>
      <c r="J22" s="379">
        <v>0</v>
      </c>
      <c r="K22" s="379">
        <v>0</v>
      </c>
      <c r="L22" s="693"/>
    </row>
    <row r="23" spans="1:12" s="694" customFormat="1" ht="13.5">
      <c r="A23" s="745" t="s">
        <v>33</v>
      </c>
      <c r="B23" s="746" t="s">
        <v>34</v>
      </c>
      <c r="C23" s="381">
        <v>300000000</v>
      </c>
      <c r="D23" s="381">
        <v>300000000</v>
      </c>
      <c r="E23" s="381">
        <f t="shared" si="2"/>
        <v>257279357</v>
      </c>
      <c r="F23" s="381">
        <v>0</v>
      </c>
      <c r="G23" s="381">
        <v>257279357</v>
      </c>
      <c r="H23" s="381">
        <v>0</v>
      </c>
      <c r="I23" s="381">
        <v>0</v>
      </c>
      <c r="J23" s="379">
        <v>0</v>
      </c>
      <c r="K23" s="379">
        <v>0</v>
      </c>
      <c r="L23" s="693">
        <f>G18+G26</f>
        <v>154179344481</v>
      </c>
    </row>
    <row r="24" spans="1:12" s="694" customFormat="1" ht="13.5">
      <c r="A24" s="745" t="s">
        <v>35</v>
      </c>
      <c r="B24" s="746" t="s">
        <v>36</v>
      </c>
      <c r="C24" s="381">
        <v>500000000</v>
      </c>
      <c r="D24" s="381">
        <v>500000000</v>
      </c>
      <c r="E24" s="381">
        <f t="shared" si="2"/>
        <v>157571949</v>
      </c>
      <c r="F24" s="381">
        <v>113519343</v>
      </c>
      <c r="G24" s="381">
        <v>44052606</v>
      </c>
      <c r="H24" s="381">
        <v>0</v>
      </c>
      <c r="I24" s="381">
        <v>0</v>
      </c>
      <c r="J24" s="379">
        <v>0</v>
      </c>
      <c r="K24" s="379">
        <v>0</v>
      </c>
      <c r="L24" s="693"/>
    </row>
    <row r="25" spans="1:12" s="692" customFormat="1" ht="14.25">
      <c r="A25" s="743" t="s">
        <v>37</v>
      </c>
      <c r="B25" s="744" t="s">
        <v>38</v>
      </c>
      <c r="C25" s="379">
        <f>SUBTOTAL(9,C26:C32)</f>
        <v>160000000000</v>
      </c>
      <c r="D25" s="379">
        <f aca="true" t="shared" si="3" ref="D25:I25">SUBTOTAL(9,D26:D31)</f>
        <v>160000000000</v>
      </c>
      <c r="E25" s="379">
        <f t="shared" si="3"/>
        <v>141884653512</v>
      </c>
      <c r="F25" s="379">
        <f t="shared" si="3"/>
        <v>0</v>
      </c>
      <c r="G25" s="379">
        <f t="shared" si="3"/>
        <v>138677719397</v>
      </c>
      <c r="H25" s="379">
        <f t="shared" si="3"/>
        <v>3185464840</v>
      </c>
      <c r="I25" s="379">
        <f t="shared" si="3"/>
        <v>21469275</v>
      </c>
      <c r="J25" s="379">
        <f>(E25/C25)*100</f>
        <v>88.677908445</v>
      </c>
      <c r="K25" s="379">
        <f>(E25/D25)*100</f>
        <v>88.677908445</v>
      </c>
      <c r="L25" s="691"/>
    </row>
    <row r="26" spans="1:12" s="694" customFormat="1" ht="13.5">
      <c r="A26" s="745" t="s">
        <v>39</v>
      </c>
      <c r="B26" s="746" t="s">
        <v>24</v>
      </c>
      <c r="C26" s="381">
        <v>54000000000</v>
      </c>
      <c r="D26" s="381">
        <v>54000000000</v>
      </c>
      <c r="E26" s="381">
        <f t="shared" si="2"/>
        <v>38012531844</v>
      </c>
      <c r="F26" s="381">
        <v>0</v>
      </c>
      <c r="G26" s="381">
        <v>36197138407</v>
      </c>
      <c r="H26" s="381">
        <v>1815393437</v>
      </c>
      <c r="I26" s="381">
        <v>0</v>
      </c>
      <c r="J26" s="379">
        <v>0</v>
      </c>
      <c r="K26" s="379">
        <v>0</v>
      </c>
      <c r="L26" s="693"/>
    </row>
    <row r="27" spans="1:12" s="694" customFormat="1" ht="13.5">
      <c r="A27" s="745" t="s">
        <v>40</v>
      </c>
      <c r="B27" s="746" t="s">
        <v>26</v>
      </c>
      <c r="C27" s="381">
        <v>84000000000</v>
      </c>
      <c r="D27" s="381">
        <v>84000000000</v>
      </c>
      <c r="E27" s="381">
        <f t="shared" si="2"/>
        <v>84687610567</v>
      </c>
      <c r="F27" s="381">
        <v>0</v>
      </c>
      <c r="G27" s="381">
        <v>84687610567</v>
      </c>
      <c r="H27" s="381">
        <v>0</v>
      </c>
      <c r="I27" s="381">
        <v>0</v>
      </c>
      <c r="J27" s="379">
        <v>0</v>
      </c>
      <c r="K27" s="379">
        <v>0</v>
      </c>
      <c r="L27" s="693"/>
    </row>
    <row r="28" spans="1:12" s="694" customFormat="1" ht="13.5">
      <c r="A28" s="745" t="s">
        <v>41</v>
      </c>
      <c r="B28" s="746" t="s">
        <v>28</v>
      </c>
      <c r="C28" s="381">
        <v>12000000000</v>
      </c>
      <c r="D28" s="381">
        <v>12000000000</v>
      </c>
      <c r="E28" s="381">
        <f t="shared" si="2"/>
        <v>11623724352</v>
      </c>
      <c r="F28" s="381">
        <v>0</v>
      </c>
      <c r="G28" s="381">
        <v>10339221078</v>
      </c>
      <c r="H28" s="381">
        <v>1284503274</v>
      </c>
      <c r="I28" s="381">
        <v>0</v>
      </c>
      <c r="J28" s="379">
        <v>0</v>
      </c>
      <c r="K28" s="379">
        <v>0</v>
      </c>
      <c r="L28" s="693"/>
    </row>
    <row r="29" spans="1:12" s="694" customFormat="1" ht="13.5">
      <c r="A29" s="745" t="s">
        <v>42</v>
      </c>
      <c r="B29" s="746" t="s">
        <v>32</v>
      </c>
      <c r="C29" s="381">
        <v>9500000000</v>
      </c>
      <c r="D29" s="381">
        <v>9500000000</v>
      </c>
      <c r="E29" s="381">
        <f t="shared" si="2"/>
        <v>1497828295</v>
      </c>
      <c r="F29" s="381">
        <v>0</v>
      </c>
      <c r="G29" s="663">
        <v>1454944975</v>
      </c>
      <c r="H29" s="381">
        <v>21441660</v>
      </c>
      <c r="I29" s="381">
        <v>21441660</v>
      </c>
      <c r="J29" s="379">
        <v>0</v>
      </c>
      <c r="K29" s="379">
        <v>0</v>
      </c>
      <c r="L29" s="693"/>
    </row>
    <row r="30" spans="1:12" s="694" customFormat="1" ht="13.5">
      <c r="A30" s="745" t="s">
        <v>43</v>
      </c>
      <c r="B30" s="746" t="s">
        <v>34</v>
      </c>
      <c r="C30" s="381">
        <v>220000000</v>
      </c>
      <c r="D30" s="381">
        <v>220000000</v>
      </c>
      <c r="E30" s="381">
        <f t="shared" si="2"/>
        <v>126075000</v>
      </c>
      <c r="F30" s="381">
        <v>0</v>
      </c>
      <c r="G30" s="381">
        <v>105075000</v>
      </c>
      <c r="H30" s="381">
        <v>21000000</v>
      </c>
      <c r="I30" s="381">
        <v>0</v>
      </c>
      <c r="J30" s="379">
        <v>0</v>
      </c>
      <c r="K30" s="379">
        <v>0</v>
      </c>
      <c r="L30" s="693"/>
    </row>
    <row r="31" spans="1:12" s="694" customFormat="1" ht="13.5">
      <c r="A31" s="745" t="s">
        <v>44</v>
      </c>
      <c r="B31" s="746" t="s">
        <v>36</v>
      </c>
      <c r="C31" s="381">
        <v>280000000</v>
      </c>
      <c r="D31" s="381">
        <v>280000000</v>
      </c>
      <c r="E31" s="381">
        <f t="shared" si="2"/>
        <v>5936883454</v>
      </c>
      <c r="F31" s="381">
        <v>0</v>
      </c>
      <c r="G31" s="381">
        <v>5893729370</v>
      </c>
      <c r="H31" s="381">
        <v>43126469</v>
      </c>
      <c r="I31" s="381">
        <v>27615</v>
      </c>
      <c r="J31" s="379">
        <v>0</v>
      </c>
      <c r="K31" s="379">
        <v>0</v>
      </c>
      <c r="L31" s="693"/>
    </row>
    <row r="32" spans="1:12" s="692" customFormat="1" ht="14.25">
      <c r="A32" s="743" t="s">
        <v>45</v>
      </c>
      <c r="B32" s="744" t="s">
        <v>46</v>
      </c>
      <c r="C32" s="380"/>
      <c r="D32" s="380"/>
      <c r="E32" s="381">
        <f t="shared" si="2"/>
        <v>0</v>
      </c>
      <c r="F32" s="380"/>
      <c r="G32" s="380"/>
      <c r="H32" s="380"/>
      <c r="I32" s="380"/>
      <c r="J32" s="379">
        <v>0</v>
      </c>
      <c r="K32" s="379">
        <v>0</v>
      </c>
      <c r="L32" s="691"/>
    </row>
    <row r="33" spans="1:12" s="690" customFormat="1" ht="13.5">
      <c r="A33" s="741" t="s">
        <v>47</v>
      </c>
      <c r="B33" s="742" t="s">
        <v>48</v>
      </c>
      <c r="C33" s="379">
        <f aca="true" t="shared" si="4" ref="C33:I33">SUBTOTAL(9,C34:C40)</f>
        <v>5000000000</v>
      </c>
      <c r="D33" s="379">
        <f t="shared" si="4"/>
        <v>5000000000</v>
      </c>
      <c r="E33" s="379">
        <f t="shared" si="4"/>
        <v>8557610056</v>
      </c>
      <c r="F33" s="379">
        <f t="shared" si="4"/>
        <v>12000</v>
      </c>
      <c r="G33" s="379">
        <f t="shared" si="4"/>
        <v>8444603341</v>
      </c>
      <c r="H33" s="379">
        <f t="shared" si="4"/>
        <v>112994715</v>
      </c>
      <c r="I33" s="379">
        <f t="shared" si="4"/>
        <v>0</v>
      </c>
      <c r="J33" s="379">
        <f>(E33/C33)*100</f>
        <v>171.15220112</v>
      </c>
      <c r="K33" s="379">
        <f>(E33/D33)*100</f>
        <v>171.15220112</v>
      </c>
      <c r="L33" s="689"/>
    </row>
    <row r="34" spans="1:12" s="694" customFormat="1" ht="13.5">
      <c r="A34" s="745" t="s">
        <v>49</v>
      </c>
      <c r="B34" s="746" t="s">
        <v>24</v>
      </c>
      <c r="C34" s="381">
        <v>1990000000</v>
      </c>
      <c r="D34" s="381">
        <v>1990000000</v>
      </c>
      <c r="E34" s="381">
        <f t="shared" si="2"/>
        <v>4392788968</v>
      </c>
      <c r="F34" s="381">
        <v>0</v>
      </c>
      <c r="G34" s="381">
        <v>4392788968</v>
      </c>
      <c r="H34" s="381">
        <v>0</v>
      </c>
      <c r="I34" s="381">
        <v>0</v>
      </c>
      <c r="J34" s="379">
        <v>0</v>
      </c>
      <c r="K34" s="379">
        <v>0</v>
      </c>
      <c r="L34" s="693"/>
    </row>
    <row r="35" spans="1:12" s="694" customFormat="1" ht="13.5">
      <c r="A35" s="745" t="s">
        <v>50</v>
      </c>
      <c r="B35" s="746" t="s">
        <v>26</v>
      </c>
      <c r="C35" s="381"/>
      <c r="D35" s="381"/>
      <c r="E35" s="381">
        <f t="shared" si="2"/>
        <v>0</v>
      </c>
      <c r="F35" s="381">
        <v>0</v>
      </c>
      <c r="G35" s="381">
        <v>0</v>
      </c>
      <c r="H35" s="381">
        <v>0</v>
      </c>
      <c r="I35" s="381">
        <v>0</v>
      </c>
      <c r="J35" s="379">
        <v>0</v>
      </c>
      <c r="K35" s="379">
        <v>0</v>
      </c>
      <c r="L35" s="693"/>
    </row>
    <row r="36" spans="1:12" s="694" customFormat="1" ht="13.5">
      <c r="A36" s="745" t="s">
        <v>51</v>
      </c>
      <c r="B36" s="746" t="s">
        <v>28</v>
      </c>
      <c r="C36" s="381">
        <v>3000000000</v>
      </c>
      <c r="D36" s="381">
        <v>3000000000</v>
      </c>
      <c r="E36" s="381">
        <f t="shared" si="2"/>
        <v>3735022302</v>
      </c>
      <c r="F36" s="381">
        <v>0</v>
      </c>
      <c r="G36" s="381">
        <v>3735022302</v>
      </c>
      <c r="H36" s="381">
        <v>0</v>
      </c>
      <c r="I36" s="381">
        <v>0</v>
      </c>
      <c r="J36" s="379">
        <v>0</v>
      </c>
      <c r="K36" s="379">
        <v>0</v>
      </c>
      <c r="L36" s="693"/>
    </row>
    <row r="37" spans="1:12" s="694" customFormat="1" ht="13.5">
      <c r="A37" s="745" t="s">
        <v>52</v>
      </c>
      <c r="B37" s="746" t="s">
        <v>32</v>
      </c>
      <c r="C37" s="381"/>
      <c r="D37" s="381"/>
      <c r="E37" s="381">
        <f t="shared" si="2"/>
        <v>110000000</v>
      </c>
      <c r="F37" s="381">
        <v>0</v>
      </c>
      <c r="G37" s="381">
        <v>110000000</v>
      </c>
      <c r="H37" s="381">
        <v>0</v>
      </c>
      <c r="I37" s="381">
        <v>0</v>
      </c>
      <c r="J37" s="379">
        <v>0</v>
      </c>
      <c r="K37" s="379">
        <v>0</v>
      </c>
      <c r="L37" s="693"/>
    </row>
    <row r="38" spans="1:12" s="694" customFormat="1" ht="13.5">
      <c r="A38" s="745" t="s">
        <v>53</v>
      </c>
      <c r="B38" s="746" t="s">
        <v>34</v>
      </c>
      <c r="C38" s="381">
        <v>10000000</v>
      </c>
      <c r="D38" s="381">
        <v>10000000</v>
      </c>
      <c r="E38" s="381">
        <f t="shared" si="2"/>
        <v>19500000</v>
      </c>
      <c r="F38" s="381">
        <v>0</v>
      </c>
      <c r="G38" s="381">
        <v>19500000</v>
      </c>
      <c r="H38" s="381">
        <v>0</v>
      </c>
      <c r="I38" s="381">
        <v>0</v>
      </c>
      <c r="J38" s="379">
        <v>0</v>
      </c>
      <c r="K38" s="379">
        <v>0</v>
      </c>
      <c r="L38" s="693"/>
    </row>
    <row r="39" spans="1:12" s="694" customFormat="1" ht="13.5">
      <c r="A39" s="745" t="s">
        <v>54</v>
      </c>
      <c r="B39" s="746" t="s">
        <v>55</v>
      </c>
      <c r="C39" s="381"/>
      <c r="D39" s="381"/>
      <c r="E39" s="381">
        <f t="shared" si="2"/>
        <v>282486786</v>
      </c>
      <c r="F39" s="381">
        <v>0</v>
      </c>
      <c r="G39" s="381">
        <v>169492071</v>
      </c>
      <c r="H39" s="381">
        <v>112994715</v>
      </c>
      <c r="I39" s="381">
        <v>0</v>
      </c>
      <c r="J39" s="379">
        <v>0</v>
      </c>
      <c r="K39" s="379">
        <v>0</v>
      </c>
      <c r="L39" s="693"/>
    </row>
    <row r="40" spans="1:12" s="694" customFormat="1" ht="13.5">
      <c r="A40" s="745" t="s">
        <v>56</v>
      </c>
      <c r="B40" s="746" t="s">
        <v>36</v>
      </c>
      <c r="C40" s="381"/>
      <c r="D40" s="381"/>
      <c r="E40" s="381">
        <f t="shared" si="2"/>
        <v>17812000</v>
      </c>
      <c r="F40" s="381">
        <v>12000</v>
      </c>
      <c r="G40" s="381">
        <v>17800000</v>
      </c>
      <c r="H40" s="381">
        <v>0</v>
      </c>
      <c r="I40" s="381">
        <v>0</v>
      </c>
      <c r="J40" s="379">
        <v>0</v>
      </c>
      <c r="K40" s="379">
        <v>0</v>
      </c>
      <c r="L40" s="693"/>
    </row>
    <row r="41" spans="1:12" s="690" customFormat="1" ht="27">
      <c r="A41" s="741" t="s">
        <v>57</v>
      </c>
      <c r="B41" s="742" t="s">
        <v>58</v>
      </c>
      <c r="C41" s="379">
        <v>563500000000</v>
      </c>
      <c r="D41" s="379">
        <f aca="true" t="shared" si="5" ref="D41:I41">SUBTOTAL(9,D42:D55)</f>
        <v>563500000000</v>
      </c>
      <c r="E41" s="379">
        <f t="shared" si="5"/>
        <v>491878028953</v>
      </c>
      <c r="F41" s="379">
        <f t="shared" si="5"/>
        <v>0</v>
      </c>
      <c r="G41" s="379">
        <f t="shared" si="5"/>
        <v>273852024283</v>
      </c>
      <c r="H41" s="379">
        <f t="shared" si="5"/>
        <v>198926654631</v>
      </c>
      <c r="I41" s="379">
        <f t="shared" si="5"/>
        <v>19099350039</v>
      </c>
      <c r="J41" s="379">
        <f>(E41/C41)*100</f>
        <v>87.289801056433</v>
      </c>
      <c r="K41" s="379">
        <f>(E41/D41)*100</f>
        <v>87.289801056433</v>
      </c>
      <c r="L41" s="689"/>
    </row>
    <row r="42" spans="1:12" s="692" customFormat="1" ht="14.25">
      <c r="A42" s="743" t="s">
        <v>59</v>
      </c>
      <c r="B42" s="744" t="s">
        <v>60</v>
      </c>
      <c r="C42" s="380"/>
      <c r="D42" s="379">
        <f aca="true" t="shared" si="6" ref="D42:I42">SUBTOTAL(9,D43:D48)</f>
        <v>563500000000</v>
      </c>
      <c r="E42" s="379">
        <f>SUBTOTAL(9,E43:E48)</f>
        <v>451550668727</v>
      </c>
      <c r="F42" s="379">
        <f t="shared" si="6"/>
        <v>0</v>
      </c>
      <c r="G42" s="379">
        <f>SUBTOTAL(9,G43:G48)</f>
        <v>273799552800</v>
      </c>
      <c r="H42" s="379">
        <f t="shared" si="6"/>
        <v>174475206512</v>
      </c>
      <c r="I42" s="379">
        <f t="shared" si="6"/>
        <v>3275909415</v>
      </c>
      <c r="J42" s="379"/>
      <c r="K42" s="379">
        <v>0</v>
      </c>
      <c r="L42" s="691"/>
    </row>
    <row r="43" spans="1:12" s="694" customFormat="1" ht="13.5">
      <c r="A43" s="745" t="s">
        <v>61</v>
      </c>
      <c r="B43" s="746" t="s">
        <v>24</v>
      </c>
      <c r="C43" s="381"/>
      <c r="D43" s="381">
        <v>469500000000</v>
      </c>
      <c r="E43" s="381">
        <f aca="true" t="shared" si="7" ref="E43:E48">SUM(F43:I43)</f>
        <v>366916613598</v>
      </c>
      <c r="F43" s="381">
        <v>0</v>
      </c>
      <c r="G43" s="663">
        <v>222091359099</v>
      </c>
      <c r="H43" s="381">
        <v>144825254499</v>
      </c>
      <c r="I43" s="381">
        <v>0</v>
      </c>
      <c r="J43" s="379">
        <v>0</v>
      </c>
      <c r="K43" s="379">
        <v>0</v>
      </c>
      <c r="L43" s="693"/>
    </row>
    <row r="44" spans="1:12" s="694" customFormat="1" ht="13.5">
      <c r="A44" s="745" t="s">
        <v>62</v>
      </c>
      <c r="B44" s="746" t="s">
        <v>26</v>
      </c>
      <c r="C44" s="381"/>
      <c r="D44" s="381">
        <v>700000000</v>
      </c>
      <c r="E44" s="381">
        <f t="shared" si="7"/>
        <v>527166697</v>
      </c>
      <c r="F44" s="381">
        <v>0</v>
      </c>
      <c r="G44" s="381">
        <v>381290698</v>
      </c>
      <c r="H44" s="381">
        <v>145875999</v>
      </c>
      <c r="I44" s="381">
        <v>0</v>
      </c>
      <c r="J44" s="379">
        <v>0</v>
      </c>
      <c r="K44" s="379">
        <v>0</v>
      </c>
      <c r="L44" s="693"/>
    </row>
    <row r="45" spans="1:12" s="694" customFormat="1" ht="13.5">
      <c r="A45" s="745" t="s">
        <v>63</v>
      </c>
      <c r="B45" s="746" t="s">
        <v>28</v>
      </c>
      <c r="C45" s="381"/>
      <c r="D45" s="381">
        <v>38000000000</v>
      </c>
      <c r="E45" s="381">
        <f t="shared" si="7"/>
        <v>42955607219</v>
      </c>
      <c r="F45" s="381">
        <v>0</v>
      </c>
      <c r="G45" s="381">
        <v>27794297836</v>
      </c>
      <c r="H45" s="381">
        <v>15161309383</v>
      </c>
      <c r="I45" s="381">
        <v>0</v>
      </c>
      <c r="J45" s="379">
        <v>0</v>
      </c>
      <c r="K45" s="379">
        <v>0</v>
      </c>
      <c r="L45" s="693"/>
    </row>
    <row r="46" spans="1:12" s="694" customFormat="1" ht="13.5">
      <c r="A46" s="745" t="s">
        <v>64</v>
      </c>
      <c r="B46" s="746" t="s">
        <v>32</v>
      </c>
      <c r="C46" s="381"/>
      <c r="D46" s="381">
        <v>30000000000</v>
      </c>
      <c r="E46" s="381">
        <f t="shared" si="7"/>
        <v>24566279136</v>
      </c>
      <c r="F46" s="381">
        <v>0</v>
      </c>
      <c r="G46" s="381">
        <v>18006719724</v>
      </c>
      <c r="H46" s="381">
        <v>3283649997</v>
      </c>
      <c r="I46" s="381">
        <v>3275909415</v>
      </c>
      <c r="J46" s="379">
        <v>0</v>
      </c>
      <c r="K46" s="379">
        <v>0</v>
      </c>
      <c r="L46" s="693"/>
    </row>
    <row r="47" spans="1:12" s="694" customFormat="1" ht="13.5">
      <c r="A47" s="745" t="s">
        <v>65</v>
      </c>
      <c r="B47" s="746" t="s">
        <v>34</v>
      </c>
      <c r="C47" s="381"/>
      <c r="D47" s="381">
        <v>11300000000</v>
      </c>
      <c r="E47" s="381">
        <f t="shared" si="7"/>
        <v>4476000921</v>
      </c>
      <c r="F47" s="381">
        <v>0</v>
      </c>
      <c r="G47" s="381">
        <v>290885920</v>
      </c>
      <c r="H47" s="381">
        <v>4185115001</v>
      </c>
      <c r="I47" s="381">
        <v>0</v>
      </c>
      <c r="J47" s="379">
        <v>0</v>
      </c>
      <c r="K47" s="379">
        <v>0</v>
      </c>
      <c r="L47" s="693">
        <f>G47-500000</f>
        <v>290385920</v>
      </c>
    </row>
    <row r="48" spans="1:12" s="694" customFormat="1" ht="13.5">
      <c r="A48" s="745" t="s">
        <v>66</v>
      </c>
      <c r="B48" s="746" t="s">
        <v>36</v>
      </c>
      <c r="C48" s="381"/>
      <c r="D48" s="381">
        <v>14000000000</v>
      </c>
      <c r="E48" s="381">
        <f t="shared" si="7"/>
        <v>12109001156</v>
      </c>
      <c r="F48" s="381">
        <v>0</v>
      </c>
      <c r="G48" s="381">
        <v>5234999523</v>
      </c>
      <c r="H48" s="381">
        <v>6874001633</v>
      </c>
      <c r="I48" s="381">
        <v>0</v>
      </c>
      <c r="J48" s="379">
        <v>0</v>
      </c>
      <c r="K48" s="379">
        <v>0</v>
      </c>
      <c r="L48" s="693">
        <v>290885920</v>
      </c>
    </row>
    <row r="49" spans="1:12" s="692" customFormat="1" ht="14.25">
      <c r="A49" s="743" t="s">
        <v>67</v>
      </c>
      <c r="B49" s="744" t="s">
        <v>68</v>
      </c>
      <c r="C49" s="380"/>
      <c r="D49" s="379"/>
      <c r="E49" s="379">
        <f aca="true" t="shared" si="8" ref="E49:J49">SUBTOTAL(9,E50:E55)</f>
        <v>40327360226</v>
      </c>
      <c r="F49" s="379">
        <f t="shared" si="8"/>
        <v>0</v>
      </c>
      <c r="G49" s="379">
        <f t="shared" si="8"/>
        <v>52471483</v>
      </c>
      <c r="H49" s="379">
        <f t="shared" si="8"/>
        <v>24451448119</v>
      </c>
      <c r="I49" s="379">
        <f t="shared" si="8"/>
        <v>15823440624</v>
      </c>
      <c r="J49" s="379">
        <f t="shared" si="8"/>
        <v>0</v>
      </c>
      <c r="K49" s="379">
        <v>0</v>
      </c>
      <c r="L49" s="691"/>
    </row>
    <row r="50" spans="1:12" s="694" customFormat="1" ht="13.5">
      <c r="A50" s="745" t="s">
        <v>69</v>
      </c>
      <c r="B50" s="746" t="s">
        <v>24</v>
      </c>
      <c r="C50" s="381"/>
      <c r="D50" s="381"/>
      <c r="E50" s="381">
        <f>SUM(G50:I50)</f>
        <v>32531211494</v>
      </c>
      <c r="F50" s="381">
        <v>0</v>
      </c>
      <c r="G50" s="381">
        <v>780000</v>
      </c>
      <c r="H50" s="381">
        <v>20973529070</v>
      </c>
      <c r="I50" s="381">
        <v>11556902424</v>
      </c>
      <c r="J50" s="379">
        <v>0</v>
      </c>
      <c r="K50" s="379">
        <v>0</v>
      </c>
      <c r="L50" s="693"/>
    </row>
    <row r="51" spans="1:12" s="694" customFormat="1" ht="13.5">
      <c r="A51" s="745" t="s">
        <v>70</v>
      </c>
      <c r="B51" s="746" t="s">
        <v>26</v>
      </c>
      <c r="C51" s="381"/>
      <c r="D51" s="381"/>
      <c r="E51" s="381">
        <f aca="true" t="shared" si="9" ref="E51:E118">SUM(F51:I51)</f>
        <v>147838000</v>
      </c>
      <c r="F51" s="381">
        <v>0</v>
      </c>
      <c r="G51" s="381">
        <v>0</v>
      </c>
      <c r="H51" s="381">
        <v>114080600</v>
      </c>
      <c r="I51" s="381">
        <v>33757400</v>
      </c>
      <c r="J51" s="379">
        <v>0</v>
      </c>
      <c r="K51" s="379">
        <v>0</v>
      </c>
      <c r="L51" s="693"/>
    </row>
    <row r="52" spans="1:12" s="694" customFormat="1" ht="13.5">
      <c r="A52" s="745" t="s">
        <v>71</v>
      </c>
      <c r="B52" s="746" t="s">
        <v>28</v>
      </c>
      <c r="C52" s="381"/>
      <c r="D52" s="381"/>
      <c r="E52" s="381">
        <f t="shared" si="9"/>
        <v>41128700</v>
      </c>
      <c r="F52" s="381">
        <v>0</v>
      </c>
      <c r="G52" s="381">
        <v>0</v>
      </c>
      <c r="H52" s="381">
        <v>27952590</v>
      </c>
      <c r="I52" s="381">
        <v>13176110</v>
      </c>
      <c r="J52" s="379">
        <v>0</v>
      </c>
      <c r="K52" s="379">
        <v>0</v>
      </c>
      <c r="L52" s="693"/>
    </row>
    <row r="53" spans="1:12" s="694" customFormat="1" ht="13.5">
      <c r="A53" s="745" t="s">
        <v>72</v>
      </c>
      <c r="B53" s="746" t="s">
        <v>32</v>
      </c>
      <c r="C53" s="381"/>
      <c r="D53" s="381"/>
      <c r="E53" s="381">
        <f t="shared" si="9"/>
        <v>515395980</v>
      </c>
      <c r="F53" s="381">
        <v>0</v>
      </c>
      <c r="G53" s="381">
        <v>0</v>
      </c>
      <c r="H53" s="381">
        <v>258168790</v>
      </c>
      <c r="I53" s="381">
        <v>257227190</v>
      </c>
      <c r="J53" s="379">
        <v>0</v>
      </c>
      <c r="K53" s="379">
        <v>0</v>
      </c>
      <c r="L53" s="693"/>
    </row>
    <row r="54" spans="1:12" s="694" customFormat="1" ht="13.5">
      <c r="A54" s="745" t="s">
        <v>73</v>
      </c>
      <c r="B54" s="746" t="s">
        <v>34</v>
      </c>
      <c r="C54" s="381"/>
      <c r="D54" s="381"/>
      <c r="E54" s="381">
        <f t="shared" si="9"/>
        <v>6375425000</v>
      </c>
      <c r="F54" s="381">
        <v>0</v>
      </c>
      <c r="G54" s="381">
        <v>0</v>
      </c>
      <c r="H54" s="381">
        <v>2413047500</v>
      </c>
      <c r="I54" s="381">
        <v>3962377500</v>
      </c>
      <c r="J54" s="379">
        <v>0</v>
      </c>
      <c r="K54" s="379">
        <v>0</v>
      </c>
      <c r="L54" s="693"/>
    </row>
    <row r="55" spans="1:12" s="694" customFormat="1" ht="13.5">
      <c r="A55" s="745" t="s">
        <v>74</v>
      </c>
      <c r="B55" s="746" t="s">
        <v>36</v>
      </c>
      <c r="C55" s="381"/>
      <c r="D55" s="381">
        <f>'thu toan tinh'!D57</f>
        <v>0</v>
      </c>
      <c r="E55" s="381">
        <f>SUM(F55:I55)</f>
        <v>716361052</v>
      </c>
      <c r="F55" s="381">
        <v>0</v>
      </c>
      <c r="G55" s="381">
        <v>51691483</v>
      </c>
      <c r="H55" s="381">
        <v>664669569</v>
      </c>
      <c r="I55" s="381">
        <v>0</v>
      </c>
      <c r="J55" s="379">
        <v>0</v>
      </c>
      <c r="K55" s="379">
        <v>0</v>
      </c>
      <c r="L55" s="693"/>
    </row>
    <row r="56" spans="1:12" s="690" customFormat="1" ht="13.5">
      <c r="A56" s="741" t="s">
        <v>75</v>
      </c>
      <c r="B56" s="742" t="s">
        <v>77</v>
      </c>
      <c r="C56" s="379">
        <v>46000000000</v>
      </c>
      <c r="D56" s="379">
        <v>46000000000</v>
      </c>
      <c r="E56" s="379">
        <f t="shared" si="9"/>
        <v>53141017799</v>
      </c>
      <c r="F56" s="379">
        <v>0</v>
      </c>
      <c r="G56" s="379">
        <v>21553730627</v>
      </c>
      <c r="H56" s="379">
        <v>22922561548</v>
      </c>
      <c r="I56" s="379">
        <v>8664725624</v>
      </c>
      <c r="J56" s="379">
        <f>(E56/C56)*100</f>
        <v>115.52395173695653</v>
      </c>
      <c r="K56" s="379">
        <f>(E56/D56)*100</f>
        <v>115.52395173695653</v>
      </c>
      <c r="L56" s="689"/>
    </row>
    <row r="57" spans="1:12" s="690" customFormat="1" ht="13.5">
      <c r="A57" s="741" t="s">
        <v>76</v>
      </c>
      <c r="B57" s="742" t="s">
        <v>79</v>
      </c>
      <c r="C57" s="379">
        <v>105000000000</v>
      </c>
      <c r="D57" s="379">
        <v>110000000000</v>
      </c>
      <c r="E57" s="379">
        <f t="shared" si="9"/>
        <v>137568226077</v>
      </c>
      <c r="F57" s="379">
        <v>0</v>
      </c>
      <c r="G57" s="379">
        <v>0</v>
      </c>
      <c r="H57" s="379">
        <v>133001410645</v>
      </c>
      <c r="I57" s="379">
        <v>4566815432</v>
      </c>
      <c r="J57" s="379">
        <f>(E57/C57)*100</f>
        <v>131.01735816857143</v>
      </c>
      <c r="K57" s="379">
        <f>(E57/D57)*100</f>
        <v>125.06202370636363</v>
      </c>
      <c r="L57" s="689"/>
    </row>
    <row r="58" spans="1:12" s="690" customFormat="1" ht="13.5">
      <c r="A58" s="741" t="s">
        <v>78</v>
      </c>
      <c r="B58" s="742" t="s">
        <v>189</v>
      </c>
      <c r="C58" s="379">
        <v>66000000000</v>
      </c>
      <c r="D58" s="379">
        <v>71000000000</v>
      </c>
      <c r="E58" s="379">
        <f t="shared" si="9"/>
        <v>242416584233</v>
      </c>
      <c r="F58" s="379">
        <v>0</v>
      </c>
      <c r="G58" s="379">
        <v>242416584233</v>
      </c>
      <c r="H58" s="379">
        <v>0</v>
      </c>
      <c r="I58" s="379">
        <v>0</v>
      </c>
      <c r="J58" s="379">
        <f>(E58/C58)*100</f>
        <v>367.29785489848484</v>
      </c>
      <c r="K58" s="379">
        <f>(E58/D58)*100</f>
        <v>341.43180877887323</v>
      </c>
      <c r="L58" s="689"/>
    </row>
    <row r="59" spans="1:12" s="690" customFormat="1" ht="13.5">
      <c r="A59" s="741" t="s">
        <v>80</v>
      </c>
      <c r="B59" s="742" t="s">
        <v>82</v>
      </c>
      <c r="C59" s="379">
        <v>65000000000</v>
      </c>
      <c r="D59" s="379">
        <v>70000000000</v>
      </c>
      <c r="E59" s="379">
        <f>SUBTOTAL(9,E60:E65)</f>
        <v>162847904263</v>
      </c>
      <c r="F59" s="379">
        <f>SUBTOTAL(9,F60:F65)</f>
        <v>13688804121</v>
      </c>
      <c r="G59" s="379">
        <f>SUBTOTAL(9,G60:G65)</f>
        <v>89454893058</v>
      </c>
      <c r="H59" s="379">
        <f>SUBTOTAL(9,H60:H65)</f>
        <v>15801667952</v>
      </c>
      <c r="I59" s="379">
        <f>SUBTOTAL(9,I60:I65)</f>
        <v>43902539132</v>
      </c>
      <c r="J59" s="379">
        <f>(E59/C59)*100</f>
        <v>250.5352373276923</v>
      </c>
      <c r="K59" s="379">
        <f>(E59/D59)*100</f>
        <v>232.63986323285715</v>
      </c>
      <c r="L59" s="689">
        <f>I59-37550578712</f>
        <v>6351960420</v>
      </c>
    </row>
    <row r="60" spans="1:12" s="694" customFormat="1" ht="13.5">
      <c r="A60" s="745" t="s">
        <v>563</v>
      </c>
      <c r="B60" s="746" t="s">
        <v>83</v>
      </c>
      <c r="C60" s="381">
        <v>7000000000</v>
      </c>
      <c r="D60" s="381">
        <v>7000000000</v>
      </c>
      <c r="E60" s="381">
        <f t="shared" si="9"/>
        <v>29980547231</v>
      </c>
      <c r="F60" s="381">
        <v>13688804121</v>
      </c>
      <c r="G60" s="663">
        <v>3261948622</v>
      </c>
      <c r="H60" s="381">
        <v>4886172933</v>
      </c>
      <c r="I60" s="381">
        <v>8143621555</v>
      </c>
      <c r="J60" s="379">
        <v>0</v>
      </c>
      <c r="K60" s="379">
        <v>0</v>
      </c>
      <c r="L60" s="693"/>
    </row>
    <row r="61" spans="1:12" s="694" customFormat="1" ht="13.5">
      <c r="A61" s="745" t="s">
        <v>564</v>
      </c>
      <c r="B61" s="746" t="s">
        <v>84</v>
      </c>
      <c r="C61" s="381"/>
      <c r="D61" s="381"/>
      <c r="E61" s="381">
        <f>SUBTOTAL(9,E62:E64)</f>
        <v>109414509310</v>
      </c>
      <c r="F61" s="381">
        <v>0</v>
      </c>
      <c r="G61" s="381">
        <f>SUBTOTAL(9,G62:G64)</f>
        <v>85059363725</v>
      </c>
      <c r="H61" s="381">
        <f>SUBTOTAL(9,H62:H64)</f>
        <v>10507408679</v>
      </c>
      <c r="I61" s="381">
        <f>SUBTOTAL(9,I62:I64)</f>
        <v>13847736906</v>
      </c>
      <c r="J61" s="379">
        <v>0</v>
      </c>
      <c r="K61" s="379">
        <v>0</v>
      </c>
      <c r="L61" s="693"/>
    </row>
    <row r="62" spans="1:12" s="697" customFormat="1" ht="13.5">
      <c r="A62" s="747" t="s">
        <v>585</v>
      </c>
      <c r="B62" s="748" t="s">
        <v>82</v>
      </c>
      <c r="C62" s="383"/>
      <c r="D62" s="383"/>
      <c r="E62" s="383">
        <f t="shared" si="9"/>
        <v>40083469310</v>
      </c>
      <c r="F62" s="381">
        <v>0</v>
      </c>
      <c r="G62" s="695">
        <f>22023000023+318533352</f>
        <v>22341533375</v>
      </c>
      <c r="H62" s="383">
        <f>8658208721+477800028</f>
        <v>9136008749</v>
      </c>
      <c r="I62" s="383">
        <f>7809593806+796333380</f>
        <v>8605927186</v>
      </c>
      <c r="J62" s="380"/>
      <c r="K62" s="380"/>
      <c r="L62" s="696"/>
    </row>
    <row r="63" spans="1:12" s="697" customFormat="1" ht="13.5">
      <c r="A63" s="747" t="s">
        <v>586</v>
      </c>
      <c r="B63" s="748" t="s">
        <v>565</v>
      </c>
      <c r="C63" s="383"/>
      <c r="D63" s="383"/>
      <c r="E63" s="383">
        <f t="shared" si="9"/>
        <v>43287347800</v>
      </c>
      <c r="F63" s="383">
        <v>0</v>
      </c>
      <c r="G63" s="695">
        <v>43287347800</v>
      </c>
      <c r="H63" s="383">
        <v>0</v>
      </c>
      <c r="I63" s="383">
        <v>0</v>
      </c>
      <c r="J63" s="380">
        <v>0</v>
      </c>
      <c r="K63" s="380">
        <v>0</v>
      </c>
      <c r="L63" s="696"/>
    </row>
    <row r="64" spans="1:12" s="697" customFormat="1" ht="13.5">
      <c r="A64" s="747" t="s">
        <v>587</v>
      </c>
      <c r="B64" s="748" t="s">
        <v>392</v>
      </c>
      <c r="C64" s="383"/>
      <c r="D64" s="383"/>
      <c r="E64" s="383">
        <f t="shared" si="9"/>
        <v>26043692200</v>
      </c>
      <c r="F64" s="383">
        <v>0</v>
      </c>
      <c r="G64" s="383">
        <v>19430482550</v>
      </c>
      <c r="H64" s="383">
        <v>1371399930</v>
      </c>
      <c r="I64" s="381">
        <v>5241809720</v>
      </c>
      <c r="J64" s="380">
        <v>0</v>
      </c>
      <c r="K64" s="380">
        <v>0</v>
      </c>
      <c r="L64" s="696"/>
    </row>
    <row r="65" spans="1:12" s="694" customFormat="1" ht="13.5">
      <c r="A65" s="745" t="s">
        <v>566</v>
      </c>
      <c r="B65" s="746" t="s">
        <v>731</v>
      </c>
      <c r="C65" s="381"/>
      <c r="D65" s="381"/>
      <c r="E65" s="381">
        <f t="shared" si="9"/>
        <v>23452847722</v>
      </c>
      <c r="F65" s="381">
        <v>0</v>
      </c>
      <c r="G65" s="383">
        <v>1133580711</v>
      </c>
      <c r="H65" s="381">
        <v>408086340</v>
      </c>
      <c r="I65" s="381">
        <v>21911180671</v>
      </c>
      <c r="J65" s="381">
        <v>0</v>
      </c>
      <c r="K65" s="381">
        <v>0</v>
      </c>
      <c r="L65" s="693"/>
    </row>
    <row r="66" spans="1:12" s="690" customFormat="1" ht="13.5">
      <c r="A66" s="741" t="s">
        <v>81</v>
      </c>
      <c r="B66" s="742" t="s">
        <v>567</v>
      </c>
      <c r="C66" s="379">
        <f>SUBTOTAL(9,C67:C71)</f>
        <v>372500000000</v>
      </c>
      <c r="D66" s="379">
        <f>SUBTOTAL(9,D67:D71)</f>
        <v>557500000000</v>
      </c>
      <c r="E66" s="379">
        <f>SUBTOTAL(9,E67:E72)</f>
        <v>902318825156</v>
      </c>
      <c r="F66" s="379">
        <f>SUBTOTAL(9,F67:F72)</f>
        <v>9844275766</v>
      </c>
      <c r="G66" s="379">
        <f>SUBTOTAL(9,G67:G72)</f>
        <v>494351301916</v>
      </c>
      <c r="H66" s="379">
        <f>SUBTOTAL(9,H67:H72)</f>
        <v>192896563550</v>
      </c>
      <c r="I66" s="379">
        <f>SUBTOTAL(9,I67:I72)</f>
        <v>205226683924</v>
      </c>
      <c r="J66" s="379">
        <f>(E66/C66)*100</f>
        <v>242.23324165261744</v>
      </c>
      <c r="K66" s="379">
        <f>(E66/D66)*100</f>
        <v>161.8509103418834</v>
      </c>
      <c r="L66" s="689"/>
    </row>
    <row r="67" spans="1:12" s="694" customFormat="1" ht="13.5">
      <c r="A67" s="745" t="s">
        <v>200</v>
      </c>
      <c r="B67" s="746" t="s">
        <v>568</v>
      </c>
      <c r="C67" s="193">
        <v>8000000000</v>
      </c>
      <c r="D67" s="193">
        <v>8000000000</v>
      </c>
      <c r="E67" s="381">
        <f t="shared" si="9"/>
        <v>33441090250</v>
      </c>
      <c r="F67" s="381">
        <v>9844275766</v>
      </c>
      <c r="G67" s="381">
        <v>23596814484</v>
      </c>
      <c r="H67" s="381">
        <v>0</v>
      </c>
      <c r="I67" s="381">
        <v>0</v>
      </c>
      <c r="J67" s="379">
        <v>0</v>
      </c>
      <c r="K67" s="379">
        <v>0</v>
      </c>
      <c r="L67" s="693">
        <v>472619568432</v>
      </c>
    </row>
    <row r="68" spans="1:12" s="694" customFormat="1" ht="13.5">
      <c r="A68" s="745" t="s">
        <v>201</v>
      </c>
      <c r="B68" s="746" t="s">
        <v>90</v>
      </c>
      <c r="C68" s="381">
        <v>57000000000</v>
      </c>
      <c r="D68" s="381">
        <v>57000000000</v>
      </c>
      <c r="E68" s="381">
        <f t="shared" si="9"/>
        <v>64072398956</v>
      </c>
      <c r="F68" s="381">
        <v>0</v>
      </c>
      <c r="G68" s="381">
        <v>36635768969</v>
      </c>
      <c r="H68" s="381">
        <v>27436629987</v>
      </c>
      <c r="I68" s="381">
        <v>0</v>
      </c>
      <c r="J68" s="379">
        <f>(E68/C68)*100</f>
        <v>112.40771746666667</v>
      </c>
      <c r="K68" s="379">
        <f>(E68/D68)*100</f>
        <v>112.40771746666667</v>
      </c>
      <c r="L68" s="693">
        <v>76008478126</v>
      </c>
    </row>
    <row r="69" spans="1:12" s="694" customFormat="1" ht="13.5">
      <c r="A69" s="745" t="s">
        <v>202</v>
      </c>
      <c r="B69" s="746" t="s">
        <v>91</v>
      </c>
      <c r="C69" s="381">
        <v>300000000000</v>
      </c>
      <c r="D69" s="381">
        <v>485000000000</v>
      </c>
      <c r="E69" s="381">
        <f t="shared" si="9"/>
        <v>796660197330</v>
      </c>
      <c r="F69" s="381">
        <v>0</v>
      </c>
      <c r="G69" s="381">
        <v>432383843070</v>
      </c>
      <c r="H69" s="381">
        <v>163527464404</v>
      </c>
      <c r="I69" s="381">
        <v>200748889856</v>
      </c>
      <c r="J69" s="379">
        <f>(E69/C69)*100</f>
        <v>265.55339911</v>
      </c>
      <c r="K69" s="379">
        <f>(E69/D69)*100</f>
        <v>164.25983450103092</v>
      </c>
      <c r="L69" s="693">
        <f>L67+L68</f>
        <v>548628046558</v>
      </c>
    </row>
    <row r="70" spans="1:12" s="694" customFormat="1" ht="13.5">
      <c r="A70" s="745" t="s">
        <v>569</v>
      </c>
      <c r="B70" s="746" t="s">
        <v>92</v>
      </c>
      <c r="C70" s="381"/>
      <c r="D70" s="381"/>
      <c r="E70" s="381">
        <f t="shared" si="9"/>
        <v>1734693000</v>
      </c>
      <c r="F70" s="381">
        <v>0</v>
      </c>
      <c r="G70" s="381">
        <v>1734693000</v>
      </c>
      <c r="H70" s="381">
        <v>0</v>
      </c>
      <c r="I70" s="381">
        <v>0</v>
      </c>
      <c r="J70" s="379">
        <v>0</v>
      </c>
      <c r="K70" s="379">
        <v>0</v>
      </c>
      <c r="L70" s="693"/>
    </row>
    <row r="71" spans="1:12" s="694" customFormat="1" ht="13.5">
      <c r="A71" s="745" t="s">
        <v>570</v>
      </c>
      <c r="B71" s="746" t="s">
        <v>206</v>
      </c>
      <c r="C71" s="381">
        <v>7500000000</v>
      </c>
      <c r="D71" s="381">
        <v>7500000000</v>
      </c>
      <c r="E71" s="381">
        <f t="shared" si="9"/>
        <v>6410445620</v>
      </c>
      <c r="F71" s="381">
        <v>0</v>
      </c>
      <c r="G71" s="381">
        <v>182393</v>
      </c>
      <c r="H71" s="381">
        <v>1932469159</v>
      </c>
      <c r="I71" s="381">
        <v>4477794068</v>
      </c>
      <c r="J71" s="379">
        <f>(E71/C71)*100</f>
        <v>85.47260826666667</v>
      </c>
      <c r="K71" s="379">
        <f>(E71/D71)*100</f>
        <v>85.47260826666667</v>
      </c>
      <c r="L71" s="693"/>
    </row>
    <row r="72" spans="1:12" s="694" customFormat="1" ht="13.5">
      <c r="A72" s="745" t="s">
        <v>700</v>
      </c>
      <c r="B72" s="746" t="s">
        <v>653</v>
      </c>
      <c r="C72" s="381"/>
      <c r="D72" s="381"/>
      <c r="E72" s="381">
        <f t="shared" si="9"/>
        <v>0</v>
      </c>
      <c r="F72" s="381"/>
      <c r="G72" s="381"/>
      <c r="H72" s="381"/>
      <c r="I72" s="381"/>
      <c r="J72" s="379"/>
      <c r="K72" s="379"/>
      <c r="L72" s="693"/>
    </row>
    <row r="73" spans="1:12" s="690" customFormat="1" ht="13.5">
      <c r="A73" s="741" t="s">
        <v>86</v>
      </c>
      <c r="B73" s="742" t="s">
        <v>94</v>
      </c>
      <c r="C73" s="379">
        <v>17000000000</v>
      </c>
      <c r="D73" s="379">
        <v>17000000000</v>
      </c>
      <c r="E73" s="379">
        <f>SUBTOTAL(9,E74:E79)</f>
        <v>27400022634</v>
      </c>
      <c r="F73" s="379">
        <f>SUBTOTAL(9,F74:F79)</f>
        <v>109252500</v>
      </c>
      <c r="G73" s="379">
        <f>SUBTOTAL(9,G74:G79)</f>
        <v>0</v>
      </c>
      <c r="H73" s="379">
        <f>SUBTOTAL(9,H74:H79)</f>
        <v>40038000</v>
      </c>
      <c r="I73" s="379">
        <f>SUBTOTAL(9,I74:I79)</f>
        <v>27250732134</v>
      </c>
      <c r="J73" s="379">
        <f>(E73/C73)*100</f>
        <v>161.17660372941177</v>
      </c>
      <c r="K73" s="379">
        <f>(E73/D73)*100</f>
        <v>161.17660372941177</v>
      </c>
      <c r="L73" s="689">
        <f>E73-27669952134</f>
        <v>-269929500</v>
      </c>
    </row>
    <row r="74" spans="1:12" s="694" customFormat="1" ht="13.5">
      <c r="A74" s="745" t="s">
        <v>87</v>
      </c>
      <c r="B74" s="746" t="s">
        <v>95</v>
      </c>
      <c r="C74" s="381"/>
      <c r="D74" s="381"/>
      <c r="E74" s="381">
        <f t="shared" si="9"/>
        <v>12248320076</v>
      </c>
      <c r="F74" s="381">
        <v>0</v>
      </c>
      <c r="G74" s="381">
        <v>0</v>
      </c>
      <c r="H74" s="381">
        <v>0</v>
      </c>
      <c r="I74" s="381">
        <v>12248320076</v>
      </c>
      <c r="J74" s="379">
        <v>0</v>
      </c>
      <c r="K74" s="379">
        <v>0</v>
      </c>
      <c r="L74" s="693"/>
    </row>
    <row r="75" spans="1:12" s="694" customFormat="1" ht="13.5">
      <c r="A75" s="745" t="s">
        <v>88</v>
      </c>
      <c r="B75" s="746" t="s">
        <v>96</v>
      </c>
      <c r="C75" s="381"/>
      <c r="D75" s="381"/>
      <c r="E75" s="381">
        <f t="shared" si="9"/>
        <v>309010000</v>
      </c>
      <c r="F75" s="381">
        <v>0</v>
      </c>
      <c r="G75" s="381">
        <v>0</v>
      </c>
      <c r="H75" s="381">
        <v>0</v>
      </c>
      <c r="I75" s="381">
        <v>309010000</v>
      </c>
      <c r="J75" s="379">
        <v>0</v>
      </c>
      <c r="K75" s="379">
        <v>0</v>
      </c>
      <c r="L75" s="693"/>
    </row>
    <row r="76" spans="1:12" s="694" customFormat="1" ht="13.5">
      <c r="A76" s="745" t="s">
        <v>89</v>
      </c>
      <c r="B76" s="746" t="s">
        <v>97</v>
      </c>
      <c r="C76" s="381"/>
      <c r="D76" s="381"/>
      <c r="E76" s="381">
        <f t="shared" si="9"/>
        <v>0</v>
      </c>
      <c r="F76" s="381">
        <v>0</v>
      </c>
      <c r="G76" s="381">
        <v>0</v>
      </c>
      <c r="H76" s="381">
        <v>0</v>
      </c>
      <c r="I76" s="381">
        <v>0</v>
      </c>
      <c r="J76" s="379">
        <v>0</v>
      </c>
      <c r="K76" s="379">
        <v>0</v>
      </c>
      <c r="L76" s="693"/>
    </row>
    <row r="77" spans="1:12" s="694" customFormat="1" ht="13.5">
      <c r="A77" s="745" t="s">
        <v>203</v>
      </c>
      <c r="B77" s="746" t="s">
        <v>98</v>
      </c>
      <c r="C77" s="381"/>
      <c r="D77" s="381"/>
      <c r="E77" s="381">
        <f t="shared" si="9"/>
        <v>88785233</v>
      </c>
      <c r="F77" s="381">
        <v>0</v>
      </c>
      <c r="G77" s="381">
        <v>0</v>
      </c>
      <c r="H77" s="381">
        <v>0</v>
      </c>
      <c r="I77" s="381">
        <v>88785233</v>
      </c>
      <c r="J77" s="379">
        <v>0</v>
      </c>
      <c r="K77" s="379">
        <v>0</v>
      </c>
      <c r="L77" s="693"/>
    </row>
    <row r="78" spans="1:12" s="694" customFormat="1" ht="13.5">
      <c r="A78" s="745" t="s">
        <v>204</v>
      </c>
      <c r="B78" s="746" t="s">
        <v>99</v>
      </c>
      <c r="C78" s="381"/>
      <c r="D78" s="381"/>
      <c r="E78" s="381">
        <f t="shared" si="9"/>
        <v>2763690500</v>
      </c>
      <c r="F78" s="381">
        <v>109252500</v>
      </c>
      <c r="G78" s="381">
        <v>0</v>
      </c>
      <c r="H78" s="381">
        <v>40038000</v>
      </c>
      <c r="I78" s="381">
        <v>2614400000</v>
      </c>
      <c r="J78" s="379">
        <v>0</v>
      </c>
      <c r="K78" s="379">
        <v>0</v>
      </c>
      <c r="L78" s="693"/>
    </row>
    <row r="79" spans="1:12" s="694" customFormat="1" ht="13.5">
      <c r="A79" s="745" t="s">
        <v>205</v>
      </c>
      <c r="B79" s="746" t="s">
        <v>100</v>
      </c>
      <c r="C79" s="381"/>
      <c r="D79" s="381"/>
      <c r="E79" s="381">
        <f t="shared" si="9"/>
        <v>11990216825</v>
      </c>
      <c r="F79" s="381">
        <v>0</v>
      </c>
      <c r="G79" s="381">
        <v>0</v>
      </c>
      <c r="H79" s="381">
        <v>0</v>
      </c>
      <c r="I79" s="381">
        <v>11990216825</v>
      </c>
      <c r="J79" s="381">
        <v>0</v>
      </c>
      <c r="K79" s="381">
        <v>0</v>
      </c>
      <c r="L79" s="693"/>
    </row>
    <row r="80" spans="1:12" s="690" customFormat="1" ht="13.5">
      <c r="A80" s="741" t="s">
        <v>93</v>
      </c>
      <c r="B80" s="742" t="s">
        <v>101</v>
      </c>
      <c r="C80" s="379">
        <v>70000000000</v>
      </c>
      <c r="D80" s="379">
        <v>70000000000</v>
      </c>
      <c r="E80" s="379">
        <f>SUBTOTAL(9,E81:E92)</f>
        <v>119416811721</v>
      </c>
      <c r="F80" s="379">
        <f>SUBTOTAL(9,F81:F92)</f>
        <v>30654415607</v>
      </c>
      <c r="G80" s="379">
        <f>SUBTOTAL(9,G81:G92)</f>
        <v>41999230811</v>
      </c>
      <c r="H80" s="379">
        <f>SUBTOTAL(9,H81:H92)</f>
        <v>46537058303</v>
      </c>
      <c r="I80" s="379">
        <f>SUBTOTAL(9,I81:I92)</f>
        <v>226107000</v>
      </c>
      <c r="J80" s="379">
        <f>(E80/C80)*100</f>
        <v>170.5954453157143</v>
      </c>
      <c r="K80" s="379">
        <f>(E80/D80)*100</f>
        <v>170.5954453157143</v>
      </c>
      <c r="L80" s="689">
        <f>41999730811-G80</f>
        <v>500000</v>
      </c>
    </row>
    <row r="81" spans="1:12" s="694" customFormat="1" ht="13.5">
      <c r="A81" s="745" t="s">
        <v>190</v>
      </c>
      <c r="B81" s="746" t="s">
        <v>102</v>
      </c>
      <c r="C81" s="382"/>
      <c r="D81" s="382"/>
      <c r="E81" s="381">
        <f t="shared" si="9"/>
        <v>0</v>
      </c>
      <c r="F81" s="381">
        <v>0</v>
      </c>
      <c r="G81" s="381">
        <v>0</v>
      </c>
      <c r="H81" s="381">
        <v>0</v>
      </c>
      <c r="I81" s="381">
        <v>0</v>
      </c>
      <c r="J81" s="379">
        <v>0</v>
      </c>
      <c r="K81" s="379">
        <v>0</v>
      </c>
      <c r="L81" s="693"/>
    </row>
    <row r="82" spans="1:12" s="694" customFormat="1" ht="13.5">
      <c r="A82" s="745" t="s">
        <v>191</v>
      </c>
      <c r="B82" s="746" t="s">
        <v>571</v>
      </c>
      <c r="C82" s="382"/>
      <c r="D82" s="382"/>
      <c r="E82" s="381">
        <f t="shared" si="9"/>
        <v>34949865525</v>
      </c>
      <c r="F82" s="381">
        <v>24432520116</v>
      </c>
      <c r="G82" s="381">
        <v>6693448830</v>
      </c>
      <c r="H82" s="381">
        <v>3823896579</v>
      </c>
      <c r="I82" s="381">
        <v>0</v>
      </c>
      <c r="J82" s="379">
        <v>0</v>
      </c>
      <c r="K82" s="379">
        <v>0</v>
      </c>
      <c r="L82" s="693">
        <f>24431220116+109252500</f>
        <v>24540472616</v>
      </c>
    </row>
    <row r="83" spans="1:12" s="694" customFormat="1" ht="13.5">
      <c r="A83" s="745" t="s">
        <v>192</v>
      </c>
      <c r="B83" s="746" t="s">
        <v>572</v>
      </c>
      <c r="C83" s="382"/>
      <c r="D83" s="382"/>
      <c r="E83" s="381">
        <f t="shared" si="9"/>
        <v>7946213200</v>
      </c>
      <c r="F83" s="381">
        <v>0</v>
      </c>
      <c r="G83" s="381">
        <v>7946213200</v>
      </c>
      <c r="H83" s="381">
        <v>0</v>
      </c>
      <c r="I83" s="381">
        <v>0</v>
      </c>
      <c r="J83" s="379">
        <v>0</v>
      </c>
      <c r="K83" s="379">
        <v>0</v>
      </c>
      <c r="L83" s="693">
        <f>3777074079+46822500</f>
        <v>3823896579</v>
      </c>
    </row>
    <row r="84" spans="1:12" s="694" customFormat="1" ht="13.5">
      <c r="A84" s="745" t="s">
        <v>193</v>
      </c>
      <c r="B84" s="746" t="s">
        <v>103</v>
      </c>
      <c r="C84" s="382">
        <v>0</v>
      </c>
      <c r="D84" s="382">
        <v>0</v>
      </c>
      <c r="E84" s="381">
        <f t="shared" si="9"/>
        <v>0</v>
      </c>
      <c r="F84" s="381">
        <v>0</v>
      </c>
      <c r="G84" s="381">
        <v>0</v>
      </c>
      <c r="H84" s="381">
        <v>0</v>
      </c>
      <c r="I84" s="381">
        <v>0</v>
      </c>
      <c r="J84" s="379">
        <v>0</v>
      </c>
      <c r="K84" s="379">
        <v>0</v>
      </c>
      <c r="L84" s="693">
        <f>86860500-46822500</f>
        <v>40038000</v>
      </c>
    </row>
    <row r="85" spans="1:12" s="694" customFormat="1" ht="13.5">
      <c r="A85" s="745" t="s">
        <v>194</v>
      </c>
      <c r="B85" s="746" t="s">
        <v>104</v>
      </c>
      <c r="C85" s="382"/>
      <c r="D85" s="382"/>
      <c r="E85" s="381">
        <f t="shared" si="9"/>
        <v>16498019095</v>
      </c>
      <c r="F85" s="381"/>
      <c r="G85" s="381">
        <v>13270382695</v>
      </c>
      <c r="H85" s="381">
        <v>3227636400</v>
      </c>
      <c r="I85" s="381">
        <v>0</v>
      </c>
      <c r="J85" s="379">
        <v>0</v>
      </c>
      <c r="K85" s="379">
        <v>0</v>
      </c>
      <c r="L85" s="693"/>
    </row>
    <row r="86" spans="1:12" s="694" customFormat="1" ht="13.5">
      <c r="A86" s="745" t="s">
        <v>195</v>
      </c>
      <c r="B86" s="746" t="s">
        <v>105</v>
      </c>
      <c r="C86" s="382"/>
      <c r="D86" s="382"/>
      <c r="E86" s="381">
        <f t="shared" si="9"/>
        <v>5539213000</v>
      </c>
      <c r="F86" s="381">
        <v>1627747000</v>
      </c>
      <c r="G86" s="381">
        <v>3703068000</v>
      </c>
      <c r="H86" s="381">
        <v>208398000</v>
      </c>
      <c r="I86" s="381">
        <v>0</v>
      </c>
      <c r="J86" s="379">
        <v>0</v>
      </c>
      <c r="K86" s="379">
        <v>0</v>
      </c>
      <c r="L86" s="693"/>
    </row>
    <row r="87" spans="1:12" s="694" customFormat="1" ht="13.5">
      <c r="A87" s="745" t="s">
        <v>573</v>
      </c>
      <c r="B87" s="746" t="s">
        <v>106</v>
      </c>
      <c r="C87" s="382">
        <v>0</v>
      </c>
      <c r="D87" s="382">
        <v>0</v>
      </c>
      <c r="E87" s="381">
        <f t="shared" si="9"/>
        <v>0</v>
      </c>
      <c r="F87" s="381">
        <v>0</v>
      </c>
      <c r="G87" s="381">
        <v>0</v>
      </c>
      <c r="H87" s="381">
        <v>0</v>
      </c>
      <c r="I87" s="381">
        <v>0</v>
      </c>
      <c r="J87" s="379">
        <v>0</v>
      </c>
      <c r="K87" s="379">
        <v>0</v>
      </c>
      <c r="L87" s="693"/>
    </row>
    <row r="88" spans="1:12" s="694" customFormat="1" ht="13.5">
      <c r="A88" s="745" t="s">
        <v>574</v>
      </c>
      <c r="B88" s="746" t="s">
        <v>107</v>
      </c>
      <c r="C88" s="382"/>
      <c r="D88" s="382"/>
      <c r="E88" s="381">
        <f t="shared" si="9"/>
        <v>29538932332</v>
      </c>
      <c r="F88" s="381">
        <v>3222649970</v>
      </c>
      <c r="G88" s="381">
        <v>43040000</v>
      </c>
      <c r="H88" s="381">
        <v>26047135362</v>
      </c>
      <c r="I88" s="381">
        <v>226107000</v>
      </c>
      <c r="J88" s="379">
        <v>0</v>
      </c>
      <c r="K88" s="379">
        <v>0</v>
      </c>
      <c r="L88" s="693"/>
    </row>
    <row r="89" spans="1:12" s="694" customFormat="1" ht="13.5">
      <c r="A89" s="745" t="s">
        <v>575</v>
      </c>
      <c r="B89" s="746" t="s">
        <v>108</v>
      </c>
      <c r="C89" s="382"/>
      <c r="D89" s="382"/>
      <c r="E89" s="381">
        <f t="shared" si="9"/>
        <v>0</v>
      </c>
      <c r="F89" s="381">
        <v>0</v>
      </c>
      <c r="G89" s="381">
        <v>0</v>
      </c>
      <c r="H89" s="381">
        <v>0</v>
      </c>
      <c r="I89" s="381">
        <v>0</v>
      </c>
      <c r="J89" s="379">
        <v>0</v>
      </c>
      <c r="K89" s="379">
        <v>0</v>
      </c>
      <c r="L89" s="693"/>
    </row>
    <row r="90" spans="1:12" s="694" customFormat="1" ht="13.5">
      <c r="A90" s="745" t="s">
        <v>576</v>
      </c>
      <c r="B90" s="746" t="s">
        <v>96</v>
      </c>
      <c r="C90" s="382">
        <v>0</v>
      </c>
      <c r="D90" s="382">
        <v>0</v>
      </c>
      <c r="E90" s="381">
        <f t="shared" si="9"/>
        <v>5086509090</v>
      </c>
      <c r="F90" s="381">
        <v>0</v>
      </c>
      <c r="G90" s="381">
        <v>0</v>
      </c>
      <c r="H90" s="381">
        <v>5086509090</v>
      </c>
      <c r="I90" s="381">
        <v>0</v>
      </c>
      <c r="J90" s="379">
        <v>0</v>
      </c>
      <c r="K90" s="379">
        <v>0</v>
      </c>
      <c r="L90" s="693">
        <f>L91+500000</f>
        <v>1149397930</v>
      </c>
    </row>
    <row r="91" spans="1:12" s="694" customFormat="1" ht="13.5">
      <c r="A91" s="745" t="s">
        <v>577</v>
      </c>
      <c r="B91" s="746" t="s">
        <v>109</v>
      </c>
      <c r="C91" s="381"/>
      <c r="D91" s="381"/>
      <c r="E91" s="381">
        <f t="shared" si="9"/>
        <v>11001159990</v>
      </c>
      <c r="F91" s="381">
        <v>1085076621</v>
      </c>
      <c r="G91" s="381">
        <v>9194180156</v>
      </c>
      <c r="H91" s="381">
        <v>721903213</v>
      </c>
      <c r="I91" s="381">
        <v>0</v>
      </c>
      <c r="J91" s="381">
        <v>0</v>
      </c>
      <c r="K91" s="381">
        <v>0</v>
      </c>
      <c r="L91" s="693">
        <v>1148897930</v>
      </c>
    </row>
    <row r="92" spans="1:12" s="694" customFormat="1" ht="13.5">
      <c r="A92" s="745" t="s">
        <v>578</v>
      </c>
      <c r="B92" s="746" t="s">
        <v>110</v>
      </c>
      <c r="C92" s="381"/>
      <c r="D92" s="381"/>
      <c r="E92" s="381">
        <f t="shared" si="9"/>
        <v>8856899489</v>
      </c>
      <c r="F92" s="381">
        <v>286421900</v>
      </c>
      <c r="G92" s="381">
        <v>1148897930</v>
      </c>
      <c r="H92" s="381">
        <v>7421579659</v>
      </c>
      <c r="I92" s="381">
        <v>0</v>
      </c>
      <c r="J92" s="379">
        <v>0</v>
      </c>
      <c r="K92" s="379">
        <v>0</v>
      </c>
      <c r="L92" s="693">
        <f>G92-500000</f>
        <v>1148397930</v>
      </c>
    </row>
    <row r="93" spans="1:12" s="690" customFormat="1" ht="13.5">
      <c r="A93" s="741" t="s">
        <v>111</v>
      </c>
      <c r="B93" s="742" t="s">
        <v>112</v>
      </c>
      <c r="C93" s="379">
        <v>390000000000</v>
      </c>
      <c r="D93" s="379">
        <f aca="true" t="shared" si="10" ref="D93:I93">SUBTOTAL(9,D94:D98)</f>
        <v>390000000000</v>
      </c>
      <c r="E93" s="379">
        <f t="shared" si="10"/>
        <v>189727433888</v>
      </c>
      <c r="F93" s="379">
        <f t="shared" si="10"/>
        <v>189204262119</v>
      </c>
      <c r="G93" s="379">
        <f t="shared" si="10"/>
        <v>523171769</v>
      </c>
      <c r="H93" s="379">
        <f t="shared" si="10"/>
        <v>0</v>
      </c>
      <c r="I93" s="379">
        <f t="shared" si="10"/>
        <v>0</v>
      </c>
      <c r="J93" s="379">
        <f>(E93/C93)*100</f>
        <v>48.64805997128205</v>
      </c>
      <c r="K93" s="379">
        <f>(E93/D93)*100</f>
        <v>48.64805997128205</v>
      </c>
      <c r="L93" s="689">
        <f>E93-189727433888</f>
        <v>0</v>
      </c>
    </row>
    <row r="94" spans="1:12" s="694" customFormat="1" ht="13.5">
      <c r="A94" s="745" t="s">
        <v>20</v>
      </c>
      <c r="B94" s="746" t="s">
        <v>113</v>
      </c>
      <c r="C94" s="381"/>
      <c r="D94" s="381"/>
      <c r="E94" s="381">
        <f t="shared" si="9"/>
        <v>15008066251</v>
      </c>
      <c r="F94" s="663">
        <v>15008066251</v>
      </c>
      <c r="G94" s="381">
        <v>0</v>
      </c>
      <c r="H94" s="381">
        <v>0</v>
      </c>
      <c r="I94" s="381">
        <v>0</v>
      </c>
      <c r="J94" s="381">
        <v>0</v>
      </c>
      <c r="K94" s="381">
        <v>0</v>
      </c>
      <c r="L94" s="693"/>
    </row>
    <row r="95" spans="1:12" s="694" customFormat="1" ht="13.5">
      <c r="A95" s="745" t="s">
        <v>47</v>
      </c>
      <c r="B95" s="746" t="s">
        <v>114</v>
      </c>
      <c r="C95" s="381"/>
      <c r="D95" s="381"/>
      <c r="E95" s="381">
        <f t="shared" si="9"/>
        <v>29579020603</v>
      </c>
      <c r="F95" s="381">
        <v>29579020603</v>
      </c>
      <c r="G95" s="381">
        <v>0</v>
      </c>
      <c r="H95" s="381">
        <v>0</v>
      </c>
      <c r="I95" s="381">
        <v>0</v>
      </c>
      <c r="J95" s="381">
        <v>0</v>
      </c>
      <c r="K95" s="381">
        <v>0</v>
      </c>
      <c r="L95" s="693"/>
    </row>
    <row r="96" spans="1:12" s="694" customFormat="1" ht="13.5">
      <c r="A96" s="745" t="s">
        <v>57</v>
      </c>
      <c r="B96" s="746" t="s">
        <v>115</v>
      </c>
      <c r="C96" s="381"/>
      <c r="D96" s="381"/>
      <c r="E96" s="381">
        <f t="shared" si="9"/>
        <v>0</v>
      </c>
      <c r="F96" s="381">
        <v>0</v>
      </c>
      <c r="G96" s="381">
        <v>0</v>
      </c>
      <c r="H96" s="381">
        <v>0</v>
      </c>
      <c r="I96" s="381">
        <v>0</v>
      </c>
      <c r="J96" s="381">
        <v>0</v>
      </c>
      <c r="K96" s="381">
        <v>0</v>
      </c>
      <c r="L96" s="693"/>
    </row>
    <row r="97" spans="1:12" s="694" customFormat="1" ht="13.5">
      <c r="A97" s="745" t="s">
        <v>75</v>
      </c>
      <c r="B97" s="746" t="s">
        <v>116</v>
      </c>
      <c r="C97" s="381"/>
      <c r="D97" s="381">
        <v>390000000000</v>
      </c>
      <c r="E97" s="381">
        <f t="shared" si="9"/>
        <v>144615985349</v>
      </c>
      <c r="F97" s="381">
        <v>144615985349</v>
      </c>
      <c r="G97" s="381">
        <v>0</v>
      </c>
      <c r="H97" s="381">
        <v>0</v>
      </c>
      <c r="I97" s="381">
        <v>0</v>
      </c>
      <c r="J97" s="381">
        <v>0</v>
      </c>
      <c r="K97" s="381">
        <v>0</v>
      </c>
      <c r="L97" s="693"/>
    </row>
    <row r="98" spans="1:12" s="694" customFormat="1" ht="13.5">
      <c r="A98" s="745" t="s">
        <v>76</v>
      </c>
      <c r="B98" s="746" t="s">
        <v>579</v>
      </c>
      <c r="C98" s="381"/>
      <c r="D98" s="381"/>
      <c r="E98" s="381">
        <f t="shared" si="9"/>
        <v>524361685</v>
      </c>
      <c r="F98" s="381">
        <v>1189916</v>
      </c>
      <c r="G98" s="381">
        <v>523171769</v>
      </c>
      <c r="H98" s="381">
        <v>0</v>
      </c>
      <c r="I98" s="381">
        <v>0</v>
      </c>
      <c r="J98" s="381">
        <v>0</v>
      </c>
      <c r="K98" s="381">
        <v>0</v>
      </c>
      <c r="L98" s="693"/>
    </row>
    <row r="99" spans="1:12" s="690" customFormat="1" ht="13.5">
      <c r="A99" s="741" t="s">
        <v>117</v>
      </c>
      <c r="B99" s="742" t="s">
        <v>118</v>
      </c>
      <c r="C99" s="379"/>
      <c r="D99" s="379"/>
      <c r="E99" s="381">
        <f t="shared" si="9"/>
        <v>0</v>
      </c>
      <c r="F99" s="379">
        <v>0</v>
      </c>
      <c r="G99" s="379">
        <v>0</v>
      </c>
      <c r="H99" s="379">
        <v>0</v>
      </c>
      <c r="I99" s="379">
        <v>0</v>
      </c>
      <c r="J99" s="379">
        <v>0</v>
      </c>
      <c r="K99" s="379">
        <v>0</v>
      </c>
      <c r="L99" s="689"/>
    </row>
    <row r="100" spans="1:12" s="690" customFormat="1" ht="13.5">
      <c r="A100" s="741" t="s">
        <v>119</v>
      </c>
      <c r="B100" s="742" t="s">
        <v>120</v>
      </c>
      <c r="C100" s="379"/>
      <c r="D100" s="379"/>
      <c r="E100" s="379">
        <f t="shared" si="9"/>
        <v>199412541761</v>
      </c>
      <c r="F100" s="379">
        <v>0</v>
      </c>
      <c r="G100" s="628">
        <f>'[9]THCN'!$D$45</f>
        <v>18276000000</v>
      </c>
      <c r="H100" s="379">
        <v>135943742756</v>
      </c>
      <c r="I100" s="379">
        <v>45192799005</v>
      </c>
      <c r="J100" s="379">
        <v>0</v>
      </c>
      <c r="K100" s="379">
        <v>0</v>
      </c>
      <c r="L100" s="689">
        <v>18276000000</v>
      </c>
    </row>
    <row r="101" spans="1:12" s="690" customFormat="1" ht="13.5">
      <c r="A101" s="741" t="s">
        <v>121</v>
      </c>
      <c r="B101" s="742" t="s">
        <v>122</v>
      </c>
      <c r="C101" s="379"/>
      <c r="D101" s="379"/>
      <c r="E101" s="379">
        <f t="shared" si="9"/>
        <v>985261958905</v>
      </c>
      <c r="F101" s="379">
        <v>0</v>
      </c>
      <c r="G101" s="379">
        <f>655804976194+10443000000</f>
        <v>666247976194</v>
      </c>
      <c r="H101" s="379">
        <v>240113856300</v>
      </c>
      <c r="I101" s="379">
        <v>78900126411</v>
      </c>
      <c r="J101" s="379">
        <v>0</v>
      </c>
      <c r="K101" s="379">
        <v>0</v>
      </c>
      <c r="L101" s="689"/>
    </row>
    <row r="102" spans="1:12" s="690" customFormat="1" ht="13.5">
      <c r="A102" s="741" t="s">
        <v>123</v>
      </c>
      <c r="B102" s="742" t="s">
        <v>124</v>
      </c>
      <c r="C102" s="379"/>
      <c r="D102" s="379">
        <v>80000000000</v>
      </c>
      <c r="E102" s="379">
        <f t="shared" si="9"/>
        <v>228000000000</v>
      </c>
      <c r="F102" s="379">
        <v>0</v>
      </c>
      <c r="G102" s="379">
        <v>228000000000</v>
      </c>
      <c r="H102" s="379">
        <v>0</v>
      </c>
      <c r="I102" s="379">
        <v>0</v>
      </c>
      <c r="J102" s="379">
        <v>0</v>
      </c>
      <c r="K102" s="379">
        <v>0</v>
      </c>
      <c r="L102" s="689"/>
    </row>
    <row r="103" spans="1:12" s="690" customFormat="1" ht="27">
      <c r="A103" s="741" t="s">
        <v>14</v>
      </c>
      <c r="B103" s="742" t="s">
        <v>125</v>
      </c>
      <c r="C103" s="379">
        <v>0</v>
      </c>
      <c r="D103" s="379">
        <f aca="true" t="shared" si="11" ref="D103:I103">SUBTOTAL(9,D104:D114)</f>
        <v>300000000000</v>
      </c>
      <c r="E103" s="379">
        <f t="shared" si="11"/>
        <v>168631466711</v>
      </c>
      <c r="F103" s="379">
        <f t="shared" si="11"/>
        <v>0</v>
      </c>
      <c r="G103" s="379">
        <f>SUBTOTAL(9,G104:G114)</f>
        <v>57771156340</v>
      </c>
      <c r="H103" s="379">
        <f>SUBTOTAL(9,H104:H114)</f>
        <v>24281983500</v>
      </c>
      <c r="I103" s="379">
        <f t="shared" si="11"/>
        <v>86578326871</v>
      </c>
      <c r="J103" s="379"/>
      <c r="K103" s="379">
        <f>(E103/D103)*100</f>
        <v>56.210488903666665</v>
      </c>
      <c r="L103" s="689"/>
    </row>
    <row r="104" spans="1:12" s="694" customFormat="1" ht="13.5">
      <c r="A104" s="745" t="s">
        <v>20</v>
      </c>
      <c r="B104" s="746" t="s">
        <v>126</v>
      </c>
      <c r="C104" s="381"/>
      <c r="D104" s="381">
        <v>20365000000</v>
      </c>
      <c r="E104" s="381">
        <f t="shared" si="9"/>
        <v>42768856755</v>
      </c>
      <c r="F104" s="381">
        <v>0</v>
      </c>
      <c r="G104" s="381">
        <v>23346523255</v>
      </c>
      <c r="H104" s="381">
        <v>19422333500</v>
      </c>
      <c r="I104" s="381">
        <v>0</v>
      </c>
      <c r="J104" s="379">
        <v>0</v>
      </c>
      <c r="K104" s="379">
        <v>0</v>
      </c>
      <c r="L104" s="693"/>
    </row>
    <row r="105" spans="1:12" s="694" customFormat="1" ht="13.5">
      <c r="A105" s="745" t="s">
        <v>47</v>
      </c>
      <c r="B105" s="746" t="s">
        <v>636</v>
      </c>
      <c r="C105" s="381"/>
      <c r="D105" s="381">
        <v>0</v>
      </c>
      <c r="E105" s="381"/>
      <c r="F105" s="381"/>
      <c r="G105" s="381"/>
      <c r="H105" s="381"/>
      <c r="I105" s="381"/>
      <c r="J105" s="379"/>
      <c r="K105" s="379"/>
      <c r="L105" s="693"/>
    </row>
    <row r="106" spans="1:12" s="694" customFormat="1" ht="13.5">
      <c r="A106" s="745" t="s">
        <v>57</v>
      </c>
      <c r="B106" s="746" t="s">
        <v>127</v>
      </c>
      <c r="C106" s="381"/>
      <c r="D106" s="381"/>
      <c r="E106" s="381">
        <f t="shared" si="9"/>
        <v>4997385950</v>
      </c>
      <c r="F106" s="381">
        <v>0</v>
      </c>
      <c r="G106" s="381">
        <v>1097385950</v>
      </c>
      <c r="H106" s="381">
        <v>0</v>
      </c>
      <c r="I106" s="381">
        <v>3900000000</v>
      </c>
      <c r="J106" s="379">
        <v>0</v>
      </c>
      <c r="K106" s="379">
        <v>0</v>
      </c>
      <c r="L106" s="693"/>
    </row>
    <row r="107" spans="1:12" s="694" customFormat="1" ht="13.5">
      <c r="A107" s="745" t="s">
        <v>75</v>
      </c>
      <c r="B107" s="746" t="s">
        <v>588</v>
      </c>
      <c r="C107" s="381"/>
      <c r="D107" s="379">
        <f aca="true" t="shared" si="12" ref="D107:I107">SUBTOTAL(9,D108:D112)</f>
        <v>27000000000</v>
      </c>
      <c r="E107" s="381">
        <f t="shared" si="12"/>
        <v>32609247135</v>
      </c>
      <c r="F107" s="381">
        <f t="shared" si="12"/>
        <v>0</v>
      </c>
      <c r="G107" s="381">
        <f t="shared" si="12"/>
        <v>32609247135</v>
      </c>
      <c r="H107" s="381">
        <f t="shared" si="12"/>
        <v>0</v>
      </c>
      <c r="I107" s="381">
        <f t="shared" si="12"/>
        <v>0</v>
      </c>
      <c r="J107" s="379">
        <v>0</v>
      </c>
      <c r="K107" s="379">
        <v>0</v>
      </c>
      <c r="L107" s="693"/>
    </row>
    <row r="108" spans="1:12" s="697" customFormat="1" ht="13.5">
      <c r="A108" s="747" t="s">
        <v>637</v>
      </c>
      <c r="B108" s="748" t="s">
        <v>128</v>
      </c>
      <c r="C108" s="383"/>
      <c r="D108" s="383">
        <v>10697000000</v>
      </c>
      <c r="E108" s="383">
        <f t="shared" si="9"/>
        <v>13370000000</v>
      </c>
      <c r="F108" s="383">
        <v>0</v>
      </c>
      <c r="G108" s="383">
        <v>13370000000</v>
      </c>
      <c r="H108" s="383">
        <v>0</v>
      </c>
      <c r="I108" s="383">
        <v>0</v>
      </c>
      <c r="J108" s="380">
        <v>0</v>
      </c>
      <c r="K108" s="380">
        <v>0</v>
      </c>
      <c r="L108" s="696"/>
    </row>
    <row r="109" spans="1:12" s="697" customFormat="1" ht="13.5">
      <c r="A109" s="747" t="s">
        <v>638</v>
      </c>
      <c r="B109" s="748" t="s">
        <v>129</v>
      </c>
      <c r="C109" s="383"/>
      <c r="D109" s="383">
        <v>300000000</v>
      </c>
      <c r="E109" s="383">
        <f t="shared" si="9"/>
        <v>405247135</v>
      </c>
      <c r="F109" s="383">
        <v>0</v>
      </c>
      <c r="G109" s="383">
        <v>405247135</v>
      </c>
      <c r="H109" s="383">
        <v>0</v>
      </c>
      <c r="I109" s="383">
        <v>0</v>
      </c>
      <c r="J109" s="380">
        <v>0</v>
      </c>
      <c r="K109" s="380">
        <v>0</v>
      </c>
      <c r="L109" s="696"/>
    </row>
    <row r="110" spans="1:12" s="697" customFormat="1" ht="13.5">
      <c r="A110" s="747" t="s">
        <v>639</v>
      </c>
      <c r="B110" s="748" t="s">
        <v>30</v>
      </c>
      <c r="C110" s="383"/>
      <c r="D110" s="383"/>
      <c r="E110" s="383">
        <f t="shared" si="9"/>
        <v>0</v>
      </c>
      <c r="F110" s="383">
        <v>0</v>
      </c>
      <c r="G110" s="383">
        <v>0</v>
      </c>
      <c r="H110" s="383">
        <v>0</v>
      </c>
      <c r="I110" s="383">
        <v>0</v>
      </c>
      <c r="J110" s="380">
        <v>0</v>
      </c>
      <c r="K110" s="380">
        <v>0</v>
      </c>
      <c r="L110" s="696"/>
    </row>
    <row r="111" spans="1:12" s="697" customFormat="1" ht="13.5">
      <c r="A111" s="747" t="s">
        <v>640</v>
      </c>
      <c r="B111" s="748" t="s">
        <v>130</v>
      </c>
      <c r="C111" s="383"/>
      <c r="D111" s="383">
        <v>16000000000</v>
      </c>
      <c r="E111" s="383">
        <f t="shared" si="9"/>
        <v>18830000000</v>
      </c>
      <c r="F111" s="383">
        <v>0</v>
      </c>
      <c r="G111" s="383">
        <v>18830000000</v>
      </c>
      <c r="H111" s="383">
        <v>0</v>
      </c>
      <c r="I111" s="383">
        <v>0</v>
      </c>
      <c r="J111" s="380">
        <v>0</v>
      </c>
      <c r="K111" s="380">
        <v>0</v>
      </c>
      <c r="L111" s="696"/>
    </row>
    <row r="112" spans="1:12" s="697" customFormat="1" ht="13.5">
      <c r="A112" s="747" t="s">
        <v>641</v>
      </c>
      <c r="B112" s="748" t="s">
        <v>34</v>
      </c>
      <c r="C112" s="383"/>
      <c r="D112" s="383">
        <v>3000000</v>
      </c>
      <c r="E112" s="383">
        <f t="shared" si="9"/>
        <v>4000000</v>
      </c>
      <c r="F112" s="383">
        <v>0</v>
      </c>
      <c r="G112" s="383">
        <v>4000000</v>
      </c>
      <c r="H112" s="383">
        <v>0</v>
      </c>
      <c r="I112" s="383">
        <v>0</v>
      </c>
      <c r="J112" s="380">
        <v>0</v>
      </c>
      <c r="K112" s="380">
        <v>0</v>
      </c>
      <c r="L112" s="696"/>
    </row>
    <row r="113" spans="1:12" s="694" customFormat="1" ht="13.5">
      <c r="A113" s="745" t="s">
        <v>76</v>
      </c>
      <c r="B113" s="746" t="s">
        <v>131</v>
      </c>
      <c r="C113" s="381"/>
      <c r="D113" s="381"/>
      <c r="E113" s="381">
        <f t="shared" si="9"/>
        <v>0</v>
      </c>
      <c r="F113" s="381">
        <v>0</v>
      </c>
      <c r="G113" s="381">
        <v>0</v>
      </c>
      <c r="H113" s="381">
        <v>0</v>
      </c>
      <c r="I113" s="381">
        <v>0</v>
      </c>
      <c r="J113" s="379">
        <v>0</v>
      </c>
      <c r="K113" s="379">
        <v>0</v>
      </c>
      <c r="L113" s="693"/>
    </row>
    <row r="114" spans="1:12" s="694" customFormat="1" ht="13.5">
      <c r="A114" s="745" t="s">
        <v>78</v>
      </c>
      <c r="B114" s="746" t="s">
        <v>132</v>
      </c>
      <c r="C114" s="381"/>
      <c r="D114" s="381">
        <v>252635000000</v>
      </c>
      <c r="E114" s="381">
        <f>SUM(F114:I114)</f>
        <v>88255976871</v>
      </c>
      <c r="F114" s="381">
        <v>0</v>
      </c>
      <c r="G114" s="381">
        <v>718000000</v>
      </c>
      <c r="H114" s="381">
        <v>4859650000</v>
      </c>
      <c r="I114" s="381">
        <v>82678326871</v>
      </c>
      <c r="J114" s="379">
        <v>0</v>
      </c>
      <c r="K114" s="379">
        <v>0</v>
      </c>
      <c r="L114" s="693"/>
    </row>
    <row r="115" spans="1:12" s="690" customFormat="1" ht="13.5">
      <c r="A115" s="741" t="s">
        <v>133</v>
      </c>
      <c r="B115" s="742" t="s">
        <v>134</v>
      </c>
      <c r="C115" s="379">
        <f aca="true" t="shared" si="13" ref="C115:I115">SUBTOTAL(9,C116:C119)</f>
        <v>4623824000000</v>
      </c>
      <c r="D115" s="379">
        <f t="shared" si="13"/>
        <v>4623824000000</v>
      </c>
      <c r="E115" s="379">
        <f>SUBTOTAL(9,E116:E119)</f>
        <v>9713775660483</v>
      </c>
      <c r="F115" s="379">
        <f t="shared" si="13"/>
        <v>0</v>
      </c>
      <c r="G115" s="379">
        <f>SUBTOTAL(9,G116:G119)</f>
        <v>5420804877223</v>
      </c>
      <c r="H115" s="379">
        <f t="shared" si="13"/>
        <v>3525161965600</v>
      </c>
      <c r="I115" s="379">
        <f t="shared" si="13"/>
        <v>767808817660</v>
      </c>
      <c r="J115" s="379">
        <v>0</v>
      </c>
      <c r="K115" s="379">
        <v>0</v>
      </c>
      <c r="L115" s="689">
        <f>'[7]Sheet1'!$D$436+'[7]Sheet1'!$D$437+'[7]Sheet1'!$D$438+'[7]Sheet1'!$D$439+'[7]Sheet1'!$D$440+'[7]Sheet1'!$D$441</f>
        <v>4944117286621</v>
      </c>
    </row>
    <row r="116" spans="1:12" s="694" customFormat="1" ht="13.5">
      <c r="A116" s="745" t="s">
        <v>20</v>
      </c>
      <c r="B116" s="746" t="s">
        <v>135</v>
      </c>
      <c r="C116" s="381">
        <v>1900788000000</v>
      </c>
      <c r="D116" s="381">
        <v>1900788000000</v>
      </c>
      <c r="E116" s="381">
        <f t="shared" si="9"/>
        <v>3591627870000</v>
      </c>
      <c r="F116" s="381">
        <v>0</v>
      </c>
      <c r="G116" s="381">
        <f>2988230000000-1087442000000</f>
        <v>1900788000000</v>
      </c>
      <c r="H116" s="381">
        <v>1391254000000</v>
      </c>
      <c r="I116" s="381">
        <v>299585870000</v>
      </c>
      <c r="J116" s="379">
        <v>0</v>
      </c>
      <c r="K116" s="379">
        <v>0</v>
      </c>
      <c r="L116" s="693">
        <f>'[7]Sheet1'!$D$436</f>
        <v>3070319000000</v>
      </c>
    </row>
    <row r="117" spans="1:12" s="694" customFormat="1" ht="13.5">
      <c r="A117" s="745" t="s">
        <v>47</v>
      </c>
      <c r="B117" s="746" t="s">
        <v>136</v>
      </c>
      <c r="C117" s="381">
        <f aca="true" t="shared" si="14" ref="C117:I117">SUBTOTAL(9,C118:C119)</f>
        <v>2723036000000</v>
      </c>
      <c r="D117" s="381">
        <f t="shared" si="14"/>
        <v>2723036000000</v>
      </c>
      <c r="E117" s="381">
        <f t="shared" si="14"/>
        <v>6122147790483</v>
      </c>
      <c r="F117" s="381">
        <f t="shared" si="14"/>
        <v>0</v>
      </c>
      <c r="G117" s="381">
        <f>SUBTOTAL(9,G118:G119)</f>
        <v>3520016877223</v>
      </c>
      <c r="H117" s="381">
        <f>SUBTOTAL(9,H118:H119)</f>
        <v>2133907965600</v>
      </c>
      <c r="I117" s="381">
        <f t="shared" si="14"/>
        <v>468222947660</v>
      </c>
      <c r="J117" s="381">
        <v>0</v>
      </c>
      <c r="K117" s="381">
        <v>0</v>
      </c>
      <c r="L117" s="693">
        <f>'[7]Sheet1'!$D$439+'[7]Sheet1'!$D$440+'[7]Sheet1'!$D$441</f>
        <v>1553889335000</v>
      </c>
    </row>
    <row r="118" spans="1:12" s="697" customFormat="1" ht="13.5">
      <c r="A118" s="747" t="s">
        <v>49</v>
      </c>
      <c r="B118" s="748" t="s">
        <v>137</v>
      </c>
      <c r="C118" s="383">
        <v>2612036000000</v>
      </c>
      <c r="D118" s="383">
        <f>C118</f>
        <v>2612036000000</v>
      </c>
      <c r="E118" s="383">
        <f t="shared" si="9"/>
        <v>5870790913260</v>
      </c>
      <c r="F118" s="383">
        <v>0</v>
      </c>
      <c r="G118" s="383">
        <f>1087442000000+2181218000000</f>
        <v>3268660000000</v>
      </c>
      <c r="H118" s="381">
        <v>2133907965600</v>
      </c>
      <c r="I118" s="381">
        <v>468222947660</v>
      </c>
      <c r="J118" s="379">
        <v>0</v>
      </c>
      <c r="K118" s="379">
        <v>0</v>
      </c>
      <c r="L118" s="696"/>
    </row>
    <row r="119" spans="1:12" s="697" customFormat="1" ht="13.5">
      <c r="A119" s="747" t="s">
        <v>50</v>
      </c>
      <c r="B119" s="748" t="s">
        <v>138</v>
      </c>
      <c r="C119" s="383">
        <v>111000000000</v>
      </c>
      <c r="D119" s="383">
        <v>111000000000</v>
      </c>
      <c r="E119" s="383">
        <f>SUM(F119:I119)</f>
        <v>251356877223</v>
      </c>
      <c r="F119" s="383">
        <v>0</v>
      </c>
      <c r="G119" s="383">
        <v>251356877223</v>
      </c>
      <c r="H119" s="383">
        <v>0</v>
      </c>
      <c r="I119" s="383">
        <v>0</v>
      </c>
      <c r="J119" s="379">
        <v>0</v>
      </c>
      <c r="K119" s="379">
        <v>0</v>
      </c>
      <c r="L119" s="696">
        <f>'[7]Sheet1'!$F$437+'[7]Sheet1'!$F$438</f>
        <v>319908951621</v>
      </c>
    </row>
    <row r="120" spans="1:12" s="690" customFormat="1" ht="13.5">
      <c r="A120" s="741" t="s">
        <v>139</v>
      </c>
      <c r="B120" s="742" t="s">
        <v>140</v>
      </c>
      <c r="C120" s="379"/>
      <c r="D120" s="379"/>
      <c r="E120" s="379">
        <f>SUM(F120:I120)</f>
        <v>55464540634</v>
      </c>
      <c r="F120" s="379">
        <v>0</v>
      </c>
      <c r="G120" s="379">
        <v>49937894634</v>
      </c>
      <c r="H120" s="379">
        <v>5526646000</v>
      </c>
      <c r="I120" s="379">
        <v>0</v>
      </c>
      <c r="J120" s="379">
        <v>0</v>
      </c>
      <c r="K120" s="379">
        <v>0</v>
      </c>
      <c r="L120" s="689"/>
    </row>
    <row r="121" spans="1:12" s="690" customFormat="1" ht="13.5">
      <c r="A121" s="741" t="s">
        <v>141</v>
      </c>
      <c r="B121" s="742" t="s">
        <v>142</v>
      </c>
      <c r="C121" s="379"/>
      <c r="D121" s="379"/>
      <c r="E121" s="379">
        <f>SUM(F121:I121)</f>
        <v>0</v>
      </c>
      <c r="F121" s="379">
        <v>0</v>
      </c>
      <c r="G121" s="379">
        <v>0</v>
      </c>
      <c r="H121" s="379">
        <v>0</v>
      </c>
      <c r="I121" s="379">
        <v>0</v>
      </c>
      <c r="J121" s="379">
        <v>0</v>
      </c>
      <c r="K121" s="379">
        <v>0</v>
      </c>
      <c r="L121" s="689">
        <f>'[7]Sheet1'!$D$440+'[7]Sheet1'!$D$441</f>
        <v>1330044335000</v>
      </c>
    </row>
    <row r="122" spans="1:12" s="690" customFormat="1" ht="13.5">
      <c r="A122" s="741" t="s">
        <v>16</v>
      </c>
      <c r="B122" s="742" t="s">
        <v>713</v>
      </c>
      <c r="C122" s="379">
        <f>C115+C14+C120+C121</f>
        <v>6618824000000</v>
      </c>
      <c r="D122" s="379">
        <f>D115+D14+D120+D121+D103</f>
        <v>7203824000000</v>
      </c>
      <c r="E122" s="379">
        <f>(E121+E120+E115+E103+E14)</f>
        <v>13966642996492</v>
      </c>
      <c r="F122" s="379">
        <f>SUBTOTAL(9,F14:F121)</f>
        <v>243614541456</v>
      </c>
      <c r="G122" s="379">
        <f>SUBTOTAL(9,G14:G121)</f>
        <v>7891137354189</v>
      </c>
      <c r="H122" s="379">
        <f>SUBTOTAL(9,H14:H121)</f>
        <v>4544452608340</v>
      </c>
      <c r="I122" s="379">
        <f>SUBTOTAL(9,I14:I121)</f>
        <v>1287438492507</v>
      </c>
      <c r="J122" s="379">
        <v>0</v>
      </c>
      <c r="K122" s="379">
        <v>0</v>
      </c>
      <c r="L122" s="689"/>
    </row>
    <row r="123" spans="1:11" ht="12.75">
      <c r="A123" s="724"/>
      <c r="B123" s="725"/>
      <c r="C123" s="664"/>
      <c r="D123" s="664"/>
      <c r="E123" s="664"/>
      <c r="F123" s="664"/>
      <c r="G123" s="664"/>
      <c r="H123" s="664"/>
      <c r="I123" s="664"/>
      <c r="J123" s="664"/>
      <c r="K123" s="664"/>
    </row>
    <row r="124" spans="1:11" ht="12.75">
      <c r="A124" s="713"/>
      <c r="B124" s="718"/>
      <c r="C124" s="726"/>
      <c r="D124" s="726"/>
      <c r="E124" s="726">
        <f>E122-H115-I115</f>
        <v>9673672213232</v>
      </c>
      <c r="F124" s="726"/>
      <c r="G124" s="726"/>
      <c r="H124" s="726">
        <f>H122-H115</f>
        <v>1019290642740</v>
      </c>
      <c r="I124" s="726">
        <f>I122-I115</f>
        <v>519629674847</v>
      </c>
      <c r="J124" s="726"/>
      <c r="K124" s="726"/>
    </row>
    <row r="125" spans="1:11" ht="12.75">
      <c r="A125" s="713"/>
      <c r="B125" s="816" t="s">
        <v>706</v>
      </c>
      <c r="C125" s="816"/>
      <c r="D125" s="816"/>
      <c r="E125" s="698" t="s">
        <v>707</v>
      </c>
      <c r="F125" s="698"/>
      <c r="G125" s="698"/>
      <c r="H125" s="698" t="s">
        <v>707</v>
      </c>
      <c r="I125" s="727"/>
      <c r="J125" s="698"/>
      <c r="K125" s="698"/>
    </row>
    <row r="126" spans="1:11" ht="12.75">
      <c r="A126" s="713"/>
      <c r="B126" s="818" t="s">
        <v>630</v>
      </c>
      <c r="C126" s="818"/>
      <c r="D126" s="699"/>
      <c r="E126" s="700" t="s">
        <v>629</v>
      </c>
      <c r="F126" s="700"/>
      <c r="G126" s="700"/>
      <c r="H126" s="819" t="s">
        <v>232</v>
      </c>
      <c r="I126" s="819"/>
      <c r="J126" s="700"/>
      <c r="K126" s="726"/>
    </row>
    <row r="127" spans="1:11" ht="12.75">
      <c r="A127" s="713"/>
      <c r="B127" s="701"/>
      <c r="C127" s="702"/>
      <c r="D127" s="702"/>
      <c r="E127" s="703"/>
      <c r="F127" s="703"/>
      <c r="G127" s="702"/>
      <c r="H127" s="817" t="s">
        <v>233</v>
      </c>
      <c r="I127" s="817"/>
      <c r="J127" s="704"/>
      <c r="K127" s="726"/>
    </row>
    <row r="128" spans="1:11" ht="12.75">
      <c r="A128" s="713"/>
      <c r="C128" s="714"/>
      <c r="D128" s="714">
        <f>E119-D119</f>
        <v>140356877223</v>
      </c>
      <c r="E128" s="714"/>
      <c r="G128" s="714"/>
      <c r="H128" s="714"/>
      <c r="I128" s="714"/>
      <c r="J128" s="714"/>
      <c r="K128" s="714"/>
    </row>
    <row r="129" spans="1:12" ht="12.75">
      <c r="A129" s="713"/>
      <c r="C129" s="714"/>
      <c r="D129" s="714"/>
      <c r="E129" s="714"/>
      <c r="F129" s="716"/>
      <c r="G129" s="716">
        <v>7880694354189</v>
      </c>
      <c r="H129" s="716">
        <v>4544452608340</v>
      </c>
      <c r="I129" s="716">
        <v>1287438492507</v>
      </c>
      <c r="J129" s="165"/>
      <c r="K129" s="165"/>
      <c r="L129" s="165"/>
    </row>
    <row r="130" spans="1:12" ht="12.75">
      <c r="A130" s="713"/>
      <c r="C130" s="714"/>
      <c r="D130" s="714"/>
      <c r="E130" s="716">
        <f>SUM(F130:I130)</f>
        <v>14206199996492</v>
      </c>
      <c r="F130" s="714">
        <v>243614541456</v>
      </c>
      <c r="G130" s="716">
        <v>8130694354189</v>
      </c>
      <c r="H130" s="716">
        <v>4544452608340</v>
      </c>
      <c r="I130" s="716">
        <v>1287438492507</v>
      </c>
      <c r="J130" s="165"/>
      <c r="K130" s="165"/>
      <c r="L130" s="165"/>
    </row>
    <row r="131" spans="1:12" ht="12.75">
      <c r="A131" s="713"/>
      <c r="C131" s="714"/>
      <c r="D131" s="714"/>
      <c r="E131" s="714">
        <f>E122-E130</f>
        <v>-239557000000</v>
      </c>
      <c r="F131" s="714">
        <f>F122-F130</f>
        <v>0</v>
      </c>
      <c r="G131" s="714">
        <f>G122-G130</f>
        <v>-239557000000</v>
      </c>
      <c r="H131" s="714">
        <f>H122-H130</f>
        <v>0</v>
      </c>
      <c r="I131" s="714">
        <f>I122-I130</f>
        <v>0</v>
      </c>
      <c r="J131" s="165"/>
      <c r="K131" s="165"/>
      <c r="L131" s="165"/>
    </row>
    <row r="132" spans="1:12" ht="12.75">
      <c r="A132" s="713"/>
      <c r="C132" s="714"/>
      <c r="D132" s="714"/>
      <c r="E132" s="714"/>
      <c r="F132" s="716"/>
      <c r="G132" s="716">
        <v>250000000000</v>
      </c>
      <c r="H132" s="165"/>
      <c r="I132" s="165"/>
      <c r="J132" s="165"/>
      <c r="K132" s="165"/>
      <c r="L132" s="165"/>
    </row>
    <row r="133" spans="1:12" ht="12.75">
      <c r="A133" s="713"/>
      <c r="C133" s="714"/>
      <c r="D133" s="714"/>
      <c r="E133" s="714"/>
      <c r="F133" s="716"/>
      <c r="G133" s="728">
        <f>G131+G132</f>
        <v>10443000000</v>
      </c>
      <c r="H133" s="165"/>
      <c r="I133" s="165"/>
      <c r="J133" s="165"/>
      <c r="K133" s="165"/>
      <c r="L133" s="165"/>
    </row>
    <row r="134" spans="1:12" ht="12.75">
      <c r="A134" s="713"/>
      <c r="C134" s="714"/>
      <c r="D134" s="714"/>
      <c r="E134" s="714"/>
      <c r="F134" s="716"/>
      <c r="G134" s="198">
        <f>G133+I131+H131</f>
        <v>10443000000</v>
      </c>
      <c r="H134" s="165"/>
      <c r="I134" s="165"/>
      <c r="J134" s="165"/>
      <c r="K134" s="165"/>
      <c r="L134" s="165"/>
    </row>
    <row r="135" spans="1:12" ht="12.75">
      <c r="A135" s="713"/>
      <c r="C135" s="714"/>
      <c r="D135" s="714"/>
      <c r="E135" s="714"/>
      <c r="F135" s="716"/>
      <c r="G135" s="165"/>
      <c r="H135" s="165"/>
      <c r="I135" s="165"/>
      <c r="J135" s="165"/>
      <c r="K135" s="165"/>
      <c r="L135" s="165"/>
    </row>
    <row r="136" spans="1:12" ht="12.75">
      <c r="A136" s="713"/>
      <c r="C136" s="714"/>
      <c r="D136" s="714"/>
      <c r="E136" s="714"/>
      <c r="F136" s="716"/>
      <c r="G136" s="165"/>
      <c r="H136" s="165"/>
      <c r="I136" s="165"/>
      <c r="J136" s="165"/>
      <c r="K136" s="165"/>
      <c r="L136" s="165"/>
    </row>
    <row r="137" spans="1:12" ht="12.75">
      <c r="A137" s="713"/>
      <c r="C137" s="714"/>
      <c r="D137" s="714"/>
      <c r="E137" s="714"/>
      <c r="F137" s="716"/>
      <c r="G137" s="780">
        <v>8141137354189</v>
      </c>
      <c r="H137" s="779" t="s">
        <v>742</v>
      </c>
      <c r="I137" s="779" t="s">
        <v>743</v>
      </c>
      <c r="J137" s="165"/>
      <c r="K137" s="165"/>
      <c r="L137" s="165"/>
    </row>
    <row r="138" spans="1:12" ht="12.75">
      <c r="A138" s="713"/>
      <c r="C138" s="714"/>
      <c r="D138" s="714"/>
      <c r="E138" s="714"/>
      <c r="F138" s="716"/>
      <c r="G138" s="728">
        <f>G137-G132</f>
        <v>7891137354189</v>
      </c>
      <c r="H138" s="165"/>
      <c r="I138" s="165"/>
      <c r="J138" s="165"/>
      <c r="K138" s="165"/>
      <c r="L138" s="165"/>
    </row>
    <row r="139" spans="1:12" ht="12.75">
      <c r="A139" s="713"/>
      <c r="C139" s="714"/>
      <c r="D139" s="714"/>
      <c r="E139" s="714"/>
      <c r="F139" s="716"/>
      <c r="G139" s="165"/>
      <c r="H139" s="165"/>
      <c r="I139" s="165"/>
      <c r="J139" s="165"/>
      <c r="K139" s="165"/>
      <c r="L139" s="165"/>
    </row>
    <row r="140" spans="1:12" ht="12.75">
      <c r="A140" s="713"/>
      <c r="C140" s="714"/>
      <c r="D140" s="714"/>
      <c r="E140" s="714"/>
      <c r="F140" s="716"/>
      <c r="G140" s="165"/>
      <c r="H140" s="165"/>
      <c r="I140" s="165"/>
      <c r="J140" s="165"/>
      <c r="K140" s="165"/>
      <c r="L140" s="165"/>
    </row>
    <row r="141" spans="1:12" ht="12.75">
      <c r="A141" s="713"/>
      <c r="C141" s="714"/>
      <c r="D141" s="714"/>
      <c r="E141" s="714"/>
      <c r="F141" s="716"/>
      <c r="G141" s="165"/>
      <c r="H141" s="165"/>
      <c r="I141" s="165"/>
      <c r="J141" s="165"/>
      <c r="K141" s="165"/>
      <c r="L141" s="165"/>
    </row>
    <row r="142" spans="1:12" ht="12.75">
      <c r="A142" s="713"/>
      <c r="C142" s="714"/>
      <c r="D142" s="714"/>
      <c r="E142" s="714"/>
      <c r="F142" s="716"/>
      <c r="G142" s="165"/>
      <c r="H142" s="165"/>
      <c r="I142" s="165"/>
      <c r="J142" s="165"/>
      <c r="K142" s="165"/>
      <c r="L142" s="165"/>
    </row>
    <row r="143" spans="1:12" ht="12.75">
      <c r="A143" s="713"/>
      <c r="C143" s="714"/>
      <c r="D143" s="714"/>
      <c r="E143" s="714"/>
      <c r="F143" s="716"/>
      <c r="G143" s="165"/>
      <c r="H143" s="165"/>
      <c r="I143" s="165"/>
      <c r="J143" s="165"/>
      <c r="K143" s="165"/>
      <c r="L143" s="165"/>
    </row>
    <row r="144" spans="1:12" ht="12.75">
      <c r="A144" s="713"/>
      <c r="C144" s="714"/>
      <c r="D144" s="714"/>
      <c r="E144" s="714"/>
      <c r="F144" s="729"/>
      <c r="G144" s="165"/>
      <c r="H144" s="165"/>
      <c r="I144" s="165"/>
      <c r="J144" s="165"/>
      <c r="K144" s="165"/>
      <c r="L144" s="165"/>
    </row>
    <row r="145" spans="1:12" ht="12.75">
      <c r="A145" s="713"/>
      <c r="C145" s="714"/>
      <c r="D145" s="714"/>
      <c r="E145" s="714"/>
      <c r="F145" s="716"/>
      <c r="G145" s="165"/>
      <c r="H145" s="165"/>
      <c r="I145" s="165"/>
      <c r="J145" s="165"/>
      <c r="K145" s="165"/>
      <c r="L145" s="165"/>
    </row>
    <row r="146" spans="1:12" ht="12.75">
      <c r="A146" s="713"/>
      <c r="C146" s="714"/>
      <c r="D146" s="714"/>
      <c r="E146" s="714"/>
      <c r="F146" s="716"/>
      <c r="G146" s="165"/>
      <c r="H146" s="165"/>
      <c r="I146" s="165"/>
      <c r="J146" s="165"/>
      <c r="K146" s="165"/>
      <c r="L146" s="165"/>
    </row>
    <row r="147" spans="1:12" ht="12.75">
      <c r="A147" s="713"/>
      <c r="C147" s="714"/>
      <c r="D147" s="714"/>
      <c r="E147" s="714"/>
      <c r="F147" s="716"/>
      <c r="G147" s="165"/>
      <c r="H147" s="165"/>
      <c r="I147" s="165"/>
      <c r="J147" s="165"/>
      <c r="K147" s="165"/>
      <c r="L147" s="165"/>
    </row>
    <row r="148" spans="1:12" ht="12.75">
      <c r="A148" s="713"/>
      <c r="C148" s="714"/>
      <c r="D148" s="714"/>
      <c r="E148" s="714"/>
      <c r="F148" s="716"/>
      <c r="G148" s="165"/>
      <c r="H148" s="165"/>
      <c r="I148" s="165"/>
      <c r="J148" s="165"/>
      <c r="K148" s="165"/>
      <c r="L148" s="165"/>
    </row>
    <row r="149" spans="1:12" ht="12.75">
      <c r="A149" s="713"/>
      <c r="C149" s="714"/>
      <c r="D149" s="714"/>
      <c r="E149" s="714"/>
      <c r="F149" s="716"/>
      <c r="G149" s="165"/>
      <c r="H149" s="165"/>
      <c r="I149" s="165"/>
      <c r="J149" s="165"/>
      <c r="K149" s="165"/>
      <c r="L149" s="165"/>
    </row>
    <row r="150" spans="1:12" ht="12.75">
      <c r="A150" s="713"/>
      <c r="C150" s="714"/>
      <c r="D150" s="714"/>
      <c r="E150" s="714"/>
      <c r="F150" s="730"/>
      <c r="G150" s="165"/>
      <c r="H150" s="165"/>
      <c r="I150" s="165"/>
      <c r="J150" s="165"/>
      <c r="K150" s="165"/>
      <c r="L150" s="165"/>
    </row>
    <row r="151" spans="1:12" ht="12.75">
      <c r="A151" s="713"/>
      <c r="C151" s="714"/>
      <c r="D151" s="714"/>
      <c r="E151" s="714"/>
      <c r="F151" s="730"/>
      <c r="G151" s="165"/>
      <c r="H151" s="165"/>
      <c r="I151" s="165"/>
      <c r="J151" s="165"/>
      <c r="K151" s="165"/>
      <c r="L151" s="165"/>
    </row>
    <row r="152" spans="1:12" ht="12.75">
      <c r="A152" s="731"/>
      <c r="B152" s="732"/>
      <c r="C152" s="733"/>
      <c r="D152" s="733"/>
      <c r="E152" s="733"/>
      <c r="F152" s="730"/>
      <c r="G152" s="165"/>
      <c r="H152" s="165"/>
      <c r="I152" s="165"/>
      <c r="J152" s="165"/>
      <c r="K152" s="165"/>
      <c r="L152" s="165"/>
    </row>
    <row r="153" spans="1:12" ht="12.75">
      <c r="A153" s="713"/>
      <c r="C153" s="714"/>
      <c r="D153" s="714"/>
      <c r="E153" s="714"/>
      <c r="F153" s="730"/>
      <c r="G153" s="165"/>
      <c r="H153" s="165"/>
      <c r="I153" s="165"/>
      <c r="J153" s="165"/>
      <c r="K153" s="165"/>
      <c r="L153" s="165"/>
    </row>
    <row r="154" spans="1:6" s="196" customFormat="1" ht="12.75">
      <c r="A154" s="682"/>
      <c r="B154" s="734" t="s">
        <v>580</v>
      </c>
      <c r="C154" s="715"/>
      <c r="D154" s="715"/>
      <c r="E154" s="715"/>
      <c r="F154" s="730"/>
    </row>
    <row r="155" spans="6:12" ht="12.75" hidden="1">
      <c r="F155" s="730"/>
      <c r="G155" s="165"/>
      <c r="H155" s="165"/>
      <c r="I155" s="165"/>
      <c r="J155" s="165"/>
      <c r="K155" s="165"/>
      <c r="L155" s="165"/>
    </row>
    <row r="156" spans="6:12" ht="12.75" hidden="1">
      <c r="F156" s="730"/>
      <c r="G156" s="165"/>
      <c r="H156" s="165"/>
      <c r="I156" s="165"/>
      <c r="J156" s="165"/>
      <c r="K156" s="165"/>
      <c r="L156" s="165"/>
    </row>
    <row r="157" spans="6:12" ht="12.75" hidden="1">
      <c r="F157" s="730"/>
      <c r="G157" s="165"/>
      <c r="H157" s="165"/>
      <c r="I157" s="165"/>
      <c r="J157" s="165"/>
      <c r="K157" s="165"/>
      <c r="L157" s="165"/>
    </row>
    <row r="158" spans="6:12" ht="12.75" hidden="1">
      <c r="F158" s="730"/>
      <c r="G158" s="165"/>
      <c r="H158" s="165"/>
      <c r="I158" s="165"/>
      <c r="J158" s="165"/>
      <c r="K158" s="165"/>
      <c r="L158" s="165"/>
    </row>
    <row r="159" spans="6:12" ht="12.75" hidden="1">
      <c r="F159" s="730"/>
      <c r="G159" s="165"/>
      <c r="H159" s="165"/>
      <c r="I159" s="165"/>
      <c r="J159" s="165"/>
      <c r="K159" s="165"/>
      <c r="L159" s="165"/>
    </row>
    <row r="160" spans="1:6" s="738" customFormat="1" ht="12.75">
      <c r="A160" s="713"/>
      <c r="B160" s="388"/>
      <c r="C160" s="714"/>
      <c r="D160" s="714"/>
      <c r="E160" s="714"/>
      <c r="F160" s="730"/>
    </row>
    <row r="161" spans="1:6" s="738" customFormat="1" ht="12.75">
      <c r="A161" s="713"/>
      <c r="B161" s="388"/>
      <c r="C161" s="714"/>
      <c r="D161" s="714"/>
      <c r="E161" s="714"/>
      <c r="F161" s="730"/>
    </row>
    <row r="162" spans="1:6" s="738" customFormat="1" ht="12.75">
      <c r="A162" s="713"/>
      <c r="B162" s="388"/>
      <c r="C162" s="714"/>
      <c r="D162" s="714"/>
      <c r="E162" s="714"/>
      <c r="F162" s="730"/>
    </row>
    <row r="163" spans="1:6" s="738" customFormat="1" ht="12.75">
      <c r="A163" s="713"/>
      <c r="B163" s="388"/>
      <c r="C163" s="714"/>
      <c r="D163" s="714"/>
      <c r="E163" s="714"/>
      <c r="F163" s="730"/>
    </row>
    <row r="164" spans="1:6" s="738" customFormat="1" ht="12.75">
      <c r="A164" s="713"/>
      <c r="B164" s="388"/>
      <c r="C164" s="714"/>
      <c r="D164" s="714"/>
      <c r="E164" s="714"/>
      <c r="F164" s="730"/>
    </row>
    <row r="165" spans="1:6" s="738" customFormat="1" ht="12.75">
      <c r="A165" s="713"/>
      <c r="B165" s="388"/>
      <c r="C165" s="714"/>
      <c r="D165" s="714"/>
      <c r="E165" s="714"/>
      <c r="F165" s="730"/>
    </row>
    <row r="166" spans="1:6" s="738" customFormat="1" ht="12.75">
      <c r="A166" s="713"/>
      <c r="B166" s="388"/>
      <c r="C166" s="714"/>
      <c r="D166" s="714"/>
      <c r="E166" s="714"/>
      <c r="F166" s="730"/>
    </row>
    <row r="167" spans="1:6" s="738" customFormat="1" ht="12.75">
      <c r="A167" s="713"/>
      <c r="B167" s="388"/>
      <c r="C167" s="714"/>
      <c r="D167" s="714"/>
      <c r="E167" s="714"/>
      <c r="F167" s="730"/>
    </row>
    <row r="168" spans="1:6" s="738" customFormat="1" ht="12.75">
      <c r="A168" s="713"/>
      <c r="B168" s="388"/>
      <c r="C168" s="714"/>
      <c r="D168" s="714"/>
      <c r="E168" s="714"/>
      <c r="F168" s="730"/>
    </row>
    <row r="169" spans="1:6" s="738" customFormat="1" ht="12.75">
      <c r="A169" s="713"/>
      <c r="B169" s="388"/>
      <c r="C169" s="714"/>
      <c r="D169" s="714"/>
      <c r="E169" s="714"/>
      <c r="F169" s="730"/>
    </row>
    <row r="170" spans="1:6" s="738" customFormat="1" ht="12.75">
      <c r="A170" s="713"/>
      <c r="B170" s="388"/>
      <c r="C170" s="714"/>
      <c r="D170" s="714"/>
      <c r="E170" s="714"/>
      <c r="F170" s="730"/>
    </row>
    <row r="171" spans="1:6" s="738" customFormat="1" ht="12.75">
      <c r="A171" s="713"/>
      <c r="B171" s="388"/>
      <c r="C171" s="714"/>
      <c r="D171" s="714"/>
      <c r="E171" s="714"/>
      <c r="F171" s="730"/>
    </row>
    <row r="172" spans="1:6" s="738" customFormat="1" ht="12.75">
      <c r="A172" s="713"/>
      <c r="B172" s="388"/>
      <c r="C172" s="714"/>
      <c r="D172" s="714"/>
      <c r="E172" s="714"/>
      <c r="F172" s="730"/>
    </row>
    <row r="173" spans="1:6" s="738" customFormat="1" ht="12.75">
      <c r="A173" s="713"/>
      <c r="B173" s="388"/>
      <c r="C173" s="714"/>
      <c r="D173" s="714"/>
      <c r="E173" s="714"/>
      <c r="F173" s="730"/>
    </row>
    <row r="174" spans="1:6" s="738" customFormat="1" ht="12.75">
      <c r="A174" s="713"/>
      <c r="B174" s="388"/>
      <c r="C174" s="714"/>
      <c r="D174" s="714"/>
      <c r="E174" s="714"/>
      <c r="F174" s="730"/>
    </row>
    <row r="175" spans="1:6" s="738" customFormat="1" ht="12.75">
      <c r="A175" s="713"/>
      <c r="B175" s="388"/>
      <c r="C175" s="714"/>
      <c r="D175" s="714"/>
      <c r="E175" s="714"/>
      <c r="F175" s="730"/>
    </row>
    <row r="176" spans="1:6" s="738" customFormat="1" ht="12.75">
      <c r="A176" s="713"/>
      <c r="B176" s="388"/>
      <c r="C176" s="714"/>
      <c r="D176" s="714"/>
      <c r="E176" s="714"/>
      <c r="F176" s="730"/>
    </row>
    <row r="177" spans="1:6" s="738" customFormat="1" ht="12.75">
      <c r="A177" s="713"/>
      <c r="B177" s="388"/>
      <c r="C177" s="714"/>
      <c r="D177" s="714"/>
      <c r="E177" s="714"/>
      <c r="F177" s="714"/>
    </row>
    <row r="178" spans="1:6" s="738" customFormat="1" ht="12.75">
      <c r="A178" s="713"/>
      <c r="B178" s="388"/>
      <c r="C178" s="714"/>
      <c r="D178" s="714"/>
      <c r="E178" s="714"/>
      <c r="F178" s="714"/>
    </row>
    <row r="179" spans="1:6" s="738" customFormat="1" ht="12.75">
      <c r="A179" s="713"/>
      <c r="B179" s="388"/>
      <c r="C179" s="714"/>
      <c r="D179" s="714"/>
      <c r="E179" s="714"/>
      <c r="F179" s="714"/>
    </row>
    <row r="180" spans="1:6" s="738" customFormat="1" ht="12.75">
      <c r="A180" s="713"/>
      <c r="B180" s="388"/>
      <c r="C180" s="714"/>
      <c r="D180" s="714"/>
      <c r="E180" s="714"/>
      <c r="F180" s="714"/>
    </row>
    <row r="181" spans="1:6" s="738" customFormat="1" ht="12.75">
      <c r="A181" s="713"/>
      <c r="B181" s="388"/>
      <c r="C181" s="714"/>
      <c r="D181" s="714"/>
      <c r="E181" s="714"/>
      <c r="F181" s="714"/>
    </row>
    <row r="182" spans="1:6" s="738" customFormat="1" ht="12.75">
      <c r="A182" s="713"/>
      <c r="B182" s="388"/>
      <c r="C182" s="714"/>
      <c r="D182" s="714"/>
      <c r="E182" s="714"/>
      <c r="F182" s="714"/>
    </row>
    <row r="183" spans="1:6" s="738" customFormat="1" ht="12.75">
      <c r="A183" s="713"/>
      <c r="B183" s="388"/>
      <c r="C183" s="714"/>
      <c r="D183" s="714"/>
      <c r="E183" s="714"/>
      <c r="F183" s="714"/>
    </row>
    <row r="184" spans="1:6" s="738" customFormat="1" ht="12.75">
      <c r="A184" s="713"/>
      <c r="B184" s="388"/>
      <c r="C184" s="714"/>
      <c r="D184" s="714"/>
      <c r="E184" s="714"/>
      <c r="F184" s="714"/>
    </row>
    <row r="185" spans="1:6" s="738" customFormat="1" ht="12.75">
      <c r="A185" s="713"/>
      <c r="B185" s="388"/>
      <c r="C185" s="714"/>
      <c r="D185" s="714"/>
      <c r="E185" s="714"/>
      <c r="F185" s="714"/>
    </row>
    <row r="186" spans="1:6" s="738" customFormat="1" ht="12.75">
      <c r="A186" s="713"/>
      <c r="B186" s="388"/>
      <c r="C186" s="714"/>
      <c r="D186" s="714"/>
      <c r="E186" s="714"/>
      <c r="F186" s="714"/>
    </row>
    <row r="187" spans="1:12" s="738" customFormat="1" ht="12.75">
      <c r="A187" s="713"/>
      <c r="B187" s="388"/>
      <c r="C187" s="714"/>
      <c r="D187" s="714"/>
      <c r="E187" s="714"/>
      <c r="F187" s="714"/>
      <c r="G187" s="736"/>
      <c r="H187" s="714"/>
      <c r="I187" s="714"/>
      <c r="J187" s="714"/>
      <c r="K187" s="714"/>
      <c r="L187" s="730"/>
    </row>
  </sheetData>
  <sheetProtection/>
  <mergeCells count="12">
    <mergeCell ref="H127:I127"/>
    <mergeCell ref="B126:C126"/>
    <mergeCell ref="H126:I126"/>
    <mergeCell ref="A10:A11"/>
    <mergeCell ref="B10:B11"/>
    <mergeCell ref="E10:E11"/>
    <mergeCell ref="F10:I10"/>
    <mergeCell ref="C10:D10"/>
    <mergeCell ref="J1:K1"/>
    <mergeCell ref="B6:K6"/>
    <mergeCell ref="J10:K10"/>
    <mergeCell ref="B125:D125"/>
  </mergeCells>
  <printOptions/>
  <pageMargins left="0.22" right="0.2" top="0" bottom="0.2362204724409449" header="0" footer="0.03937007874015748"/>
  <pageSetup horizontalDpi="600" verticalDpi="600" orientation="landscape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6" sqref="C16"/>
    </sheetView>
  </sheetViews>
  <sheetFormatPr defaultColWidth="9.140625" defaultRowHeight="12.75"/>
  <cols>
    <col min="1" max="1" width="7.00390625" style="197" customWidth="1"/>
    <col min="2" max="2" width="34.57421875" style="195" customWidth="1"/>
    <col min="3" max="3" width="18.57421875" style="199" customWidth="1"/>
    <col min="4" max="4" width="19.00390625" style="199" customWidth="1"/>
    <col min="5" max="5" width="18.57421875" style="199" customWidth="1"/>
    <col min="6" max="6" width="20.421875" style="199" bestFit="1" customWidth="1"/>
    <col min="7" max="7" width="10.00390625" style="359" customWidth="1"/>
    <col min="8" max="8" width="8.8515625" style="359" customWidth="1"/>
    <col min="9" max="9" width="8.57421875" style="359" customWidth="1"/>
    <col min="10" max="10" width="19.28125" style="195" customWidth="1"/>
    <col min="11" max="11" width="17.57421875" style="195" bestFit="1" customWidth="1"/>
    <col min="12" max="16384" width="9.140625" style="195" customWidth="1"/>
  </cols>
  <sheetData>
    <row r="1" spans="1:9" s="311" customFormat="1" ht="18" customHeight="1">
      <c r="A1" s="826" t="s">
        <v>470</v>
      </c>
      <c r="B1" s="826"/>
      <c r="C1" s="308"/>
      <c r="D1" s="308"/>
      <c r="E1" s="308"/>
      <c r="F1" s="308">
        <v>130567909408</v>
      </c>
      <c r="G1" s="309"/>
      <c r="H1" s="309"/>
      <c r="I1" s="310"/>
    </row>
    <row r="2" spans="1:9" ht="15">
      <c r="A2" s="798" t="s">
        <v>716</v>
      </c>
      <c r="B2" s="798"/>
      <c r="C2" s="798"/>
      <c r="D2" s="798"/>
      <c r="E2" s="798"/>
      <c r="F2" s="798"/>
      <c r="G2" s="798"/>
      <c r="H2" s="798"/>
      <c r="I2" s="798"/>
    </row>
    <row r="3" spans="1:9" ht="19.5" customHeight="1" hidden="1">
      <c r="A3" s="799" t="s">
        <v>748</v>
      </c>
      <c r="B3" s="799"/>
      <c r="C3" s="799"/>
      <c r="D3" s="799"/>
      <c r="E3" s="799"/>
      <c r="F3" s="799"/>
      <c r="G3" s="799"/>
      <c r="H3" s="799"/>
      <c r="I3" s="799"/>
    </row>
    <row r="4" spans="1:9" ht="19.5" customHeight="1" hidden="1">
      <c r="A4" s="799" t="s">
        <v>744</v>
      </c>
      <c r="B4" s="799"/>
      <c r="C4" s="799"/>
      <c r="D4" s="799"/>
      <c r="E4" s="799"/>
      <c r="F4" s="799"/>
      <c r="G4" s="799"/>
      <c r="H4" s="799"/>
      <c r="I4" s="799"/>
    </row>
    <row r="5" spans="1:9" ht="19.5" customHeight="1">
      <c r="A5" s="799" t="s">
        <v>751</v>
      </c>
      <c r="B5" s="799"/>
      <c r="C5" s="799"/>
      <c r="D5" s="799"/>
      <c r="E5" s="799"/>
      <c r="F5" s="799"/>
      <c r="G5" s="799"/>
      <c r="H5" s="799"/>
      <c r="I5" s="799"/>
    </row>
    <row r="6" spans="2:9" ht="15">
      <c r="B6" s="307"/>
      <c r="C6" s="781"/>
      <c r="D6" s="781"/>
      <c r="E6" s="781"/>
      <c r="F6" s="781"/>
      <c r="G6" s="800" t="s">
        <v>199</v>
      </c>
      <c r="H6" s="800"/>
      <c r="I6" s="800"/>
    </row>
    <row r="7" spans="1:9" s="314" customFormat="1" ht="15" customHeight="1">
      <c r="A7" s="824" t="s">
        <v>471</v>
      </c>
      <c r="B7" s="824" t="s">
        <v>472</v>
      </c>
      <c r="C7" s="825" t="s">
        <v>745</v>
      </c>
      <c r="D7" s="824" t="s">
        <v>749</v>
      </c>
      <c r="E7" s="824"/>
      <c r="F7" s="825" t="s">
        <v>717</v>
      </c>
      <c r="G7" s="313" t="s">
        <v>750</v>
      </c>
      <c r="H7" s="313"/>
      <c r="I7" s="313"/>
    </row>
    <row r="8" spans="1:9" s="314" customFormat="1" ht="15" customHeight="1">
      <c r="A8" s="824"/>
      <c r="B8" s="824"/>
      <c r="C8" s="825"/>
      <c r="D8" s="312" t="s">
        <v>473</v>
      </c>
      <c r="E8" s="312" t="s">
        <v>474</v>
      </c>
      <c r="F8" s="825"/>
      <c r="G8" s="315" t="s">
        <v>475</v>
      </c>
      <c r="H8" s="315" t="s">
        <v>476</v>
      </c>
      <c r="I8" s="315" t="s">
        <v>477</v>
      </c>
    </row>
    <row r="9" spans="1:9" ht="15" customHeight="1">
      <c r="A9" s="205" t="s">
        <v>13</v>
      </c>
      <c r="B9" s="316" t="s">
        <v>478</v>
      </c>
      <c r="C9" s="317"/>
      <c r="D9" s="317"/>
      <c r="E9" s="317"/>
      <c r="F9" s="317"/>
      <c r="G9" s="318"/>
      <c r="H9" s="318"/>
      <c r="I9" s="318"/>
    </row>
    <row r="10" spans="1:11" ht="17.25" customHeight="1">
      <c r="A10" s="319"/>
      <c r="B10" s="320" t="s">
        <v>479</v>
      </c>
      <c r="C10" s="321">
        <f>'[10]HDND'!F10</f>
        <v>8803943409952</v>
      </c>
      <c r="D10" s="321">
        <f>D12+D39+D44+D45+D46+D47+D48+D49</f>
        <v>6618824000000</v>
      </c>
      <c r="E10" s="321">
        <f>E12+E39+E44+E45+E46+E47+E48+E49</f>
        <v>7203824000000</v>
      </c>
      <c r="F10" s="321">
        <f>F12+F39+F44+F45+F46+F47+F48+F49+F31</f>
        <v>9673672213232</v>
      </c>
      <c r="G10" s="322">
        <f>F10/D10*100</f>
        <v>146.15394235036314</v>
      </c>
      <c r="H10" s="323">
        <f>F10/E10*100</f>
        <v>134.28523813507937</v>
      </c>
      <c r="I10" s="323">
        <f>F10/C10*100</f>
        <v>109.8788549946477</v>
      </c>
      <c r="J10" s="199">
        <f>F11-F51</f>
        <v>239049449329</v>
      </c>
      <c r="K10" s="199">
        <f>J10-'Can doi'!B17</f>
        <v>0</v>
      </c>
    </row>
    <row r="11" spans="1:10" ht="17.25" customHeight="1">
      <c r="A11" s="320"/>
      <c r="B11" s="324" t="s">
        <v>480</v>
      </c>
      <c r="C11" s="325">
        <f>'[10]HDND'!F11</f>
        <v>8484218773533</v>
      </c>
      <c r="D11" s="325">
        <f>'PL08-B03'!C75</f>
        <v>6193325000000</v>
      </c>
      <c r="E11" s="325">
        <f>'PL08-B03'!D75</f>
        <v>6777324000000</v>
      </c>
      <c r="F11" s="325">
        <f>F10-PL08_B02!F122</f>
        <v>9430057671776</v>
      </c>
      <c r="G11" s="322">
        <f aca="true" t="shared" si="0" ref="G11:G60">F11/D11*100</f>
        <v>152.26163122032187</v>
      </c>
      <c r="H11" s="323">
        <f aca="true" t="shared" si="1" ref="H11:H68">F11/E11*100</f>
        <v>139.14131406106597</v>
      </c>
      <c r="I11" s="323">
        <f aca="true" t="shared" si="2" ref="I11:I68">F11/C11*100</f>
        <v>111.14821439062365</v>
      </c>
      <c r="J11" s="199">
        <f>'Can doi'!B5-HDND!F10</f>
        <v>4049356241804</v>
      </c>
    </row>
    <row r="12" spans="1:11" ht="18" customHeight="1">
      <c r="A12" s="320" t="s">
        <v>18</v>
      </c>
      <c r="B12" s="326" t="s">
        <v>527</v>
      </c>
      <c r="C12" s="327">
        <f>'[10]HDND'!F12</f>
        <v>2418016558056</v>
      </c>
      <c r="D12" s="327">
        <f>SUM(D13+D38)</f>
        <v>1995000000000</v>
      </c>
      <c r="E12" s="327">
        <f>SUM(E13+E38)</f>
        <v>2500000000000</v>
      </c>
      <c r="F12" s="327">
        <f>SUM(F13+F38)</f>
        <v>2757328272075</v>
      </c>
      <c r="G12" s="322">
        <f t="shared" si="0"/>
        <v>138.21194346240603</v>
      </c>
      <c r="H12" s="323">
        <f t="shared" si="1"/>
        <v>110.29313088299999</v>
      </c>
      <c r="I12" s="323">
        <f t="shared" si="2"/>
        <v>114.03264642206562</v>
      </c>
      <c r="J12" s="199">
        <f>'Can doi'!A26-HDND!J11</f>
        <v>-4049356241804</v>
      </c>
      <c r="K12" s="199">
        <f>F10-F11</f>
        <v>243614541456</v>
      </c>
    </row>
    <row r="13" spans="1:9" ht="18" customHeight="1">
      <c r="A13" s="320">
        <v>1</v>
      </c>
      <c r="B13" s="326" t="s">
        <v>19</v>
      </c>
      <c r="C13" s="327">
        <f>'[10]HDND'!F13</f>
        <v>2147480908181</v>
      </c>
      <c r="D13" s="327">
        <f>D14+D33</f>
        <v>1605000000000</v>
      </c>
      <c r="E13" s="327">
        <f>E14+E33</f>
        <v>2110000000000</v>
      </c>
      <c r="F13" s="327">
        <f>F14+F33</f>
        <v>2567600838187</v>
      </c>
      <c r="G13" s="322">
        <f t="shared" si="0"/>
        <v>159.97513010510903</v>
      </c>
      <c r="H13" s="323">
        <f t="shared" si="1"/>
        <v>121.68724351597156</v>
      </c>
      <c r="I13" s="323">
        <f t="shared" si="2"/>
        <v>119.56338370252884</v>
      </c>
    </row>
    <row r="14" spans="1:9" s="341" customFormat="1" ht="30.75" customHeight="1">
      <c r="A14" s="287" t="s">
        <v>22</v>
      </c>
      <c r="B14" s="360" t="s">
        <v>528</v>
      </c>
      <c r="C14" s="361">
        <f>'[10]HDND'!F14</f>
        <v>1959603001249</v>
      </c>
      <c r="D14" s="361">
        <f>D15+D16+D17+D18+D19+D20+D21+D22+D23+D24+D25+D29+D30+D32+D31</f>
        <v>1605000000000</v>
      </c>
      <c r="E14" s="361">
        <f>E15+E16+E17+E18+E19+E20+E21+E22+E23+E24+E25+E29+E30+E32+E31</f>
        <v>1810000000000</v>
      </c>
      <c r="F14" s="361">
        <f>F15+F16+F17+F18+F19+F20+F21+F22+F23+F24+F25+F29+F30+F32</f>
        <v>2398969371476</v>
      </c>
      <c r="G14" s="362">
        <f t="shared" si="0"/>
        <v>149.46849666517136</v>
      </c>
      <c r="H14" s="347">
        <f t="shared" si="1"/>
        <v>132.539744280442</v>
      </c>
      <c r="I14" s="347">
        <f t="shared" si="2"/>
        <v>122.4211929634196</v>
      </c>
    </row>
    <row r="15" spans="1:10" ht="18" customHeight="1">
      <c r="A15" s="319" t="s">
        <v>23</v>
      </c>
      <c r="B15" s="328" t="s">
        <v>529</v>
      </c>
      <c r="C15" s="329">
        <f>'[10]HDND'!F15</f>
        <v>134886207605</v>
      </c>
      <c r="D15" s="329">
        <f>PL08_B02!C17</f>
        <v>135000000000</v>
      </c>
      <c r="E15" s="329">
        <f>PL08_B02!D17</f>
        <v>140000000000</v>
      </c>
      <c r="F15" s="329">
        <f>PL08_B02!E17</f>
        <v>138939709706</v>
      </c>
      <c r="G15" s="330">
        <f t="shared" si="0"/>
        <v>102.91830348592592</v>
      </c>
      <c r="H15" s="331">
        <f t="shared" si="1"/>
        <v>99.24264979</v>
      </c>
      <c r="I15" s="331">
        <f t="shared" si="2"/>
        <v>103.00512719052067</v>
      </c>
      <c r="J15" s="199">
        <f aca="true" t="shared" si="3" ref="J15:J20">F15-E15</f>
        <v>-1060290294</v>
      </c>
    </row>
    <row r="16" spans="1:10" ht="18" customHeight="1">
      <c r="A16" s="319" t="s">
        <v>25</v>
      </c>
      <c r="B16" s="328" t="s">
        <v>530</v>
      </c>
      <c r="C16" s="332">
        <f>'[10]HDND'!F16</f>
        <v>148222315616</v>
      </c>
      <c r="D16" s="332">
        <f>PL08_B02!C25</f>
        <v>160000000000</v>
      </c>
      <c r="E16" s="332">
        <f>PL08_B02!D25</f>
        <v>160000000000</v>
      </c>
      <c r="F16" s="332">
        <f>PL08_B02!E25</f>
        <v>141884653512</v>
      </c>
      <c r="G16" s="330">
        <f t="shared" si="0"/>
        <v>88.677908445</v>
      </c>
      <c r="H16" s="331">
        <f t="shared" si="1"/>
        <v>88.677908445</v>
      </c>
      <c r="I16" s="331">
        <f t="shared" si="2"/>
        <v>95.72421866595379</v>
      </c>
      <c r="J16" s="199">
        <f t="shared" si="3"/>
        <v>-18115346488</v>
      </c>
    </row>
    <row r="17" spans="1:11" ht="18" customHeight="1">
      <c r="A17" s="319" t="s">
        <v>27</v>
      </c>
      <c r="B17" s="328" t="s">
        <v>531</v>
      </c>
      <c r="C17" s="266">
        <f>'[10]HDND'!F17</f>
        <v>18963369051</v>
      </c>
      <c r="D17" s="266">
        <f>PL08_B02!C33</f>
        <v>5000000000</v>
      </c>
      <c r="E17" s="266">
        <f>PL08_B02!D33</f>
        <v>5000000000</v>
      </c>
      <c r="F17" s="266">
        <f>PL08_B02!E33</f>
        <v>8557610056</v>
      </c>
      <c r="G17" s="330">
        <f t="shared" si="0"/>
        <v>171.15220112</v>
      </c>
      <c r="H17" s="331">
        <f t="shared" si="1"/>
        <v>171.15220112</v>
      </c>
      <c r="I17" s="331">
        <f t="shared" si="2"/>
        <v>45.12705539287455</v>
      </c>
      <c r="J17" s="199">
        <f t="shared" si="3"/>
        <v>3557610056</v>
      </c>
      <c r="K17" s="199">
        <f>J17+J18+J20+J24+J25+J32</f>
        <v>108909598869</v>
      </c>
    </row>
    <row r="18" spans="1:11" ht="18" customHeight="1">
      <c r="A18" s="319" t="s">
        <v>29</v>
      </c>
      <c r="B18" s="328" t="s">
        <v>532</v>
      </c>
      <c r="C18" s="266">
        <f>'[10]HDND'!F18</f>
        <v>498955898016</v>
      </c>
      <c r="D18" s="266">
        <f>PL08_B02!C41</f>
        <v>563500000000</v>
      </c>
      <c r="E18" s="266">
        <f>PL08_B02!D41</f>
        <v>563500000000</v>
      </c>
      <c r="F18" s="266">
        <f>PL08_B02!E41</f>
        <v>491878028953</v>
      </c>
      <c r="G18" s="330">
        <f t="shared" si="0"/>
        <v>87.289801056433</v>
      </c>
      <c r="H18" s="331">
        <f t="shared" si="1"/>
        <v>87.289801056433</v>
      </c>
      <c r="I18" s="331">
        <f t="shared" si="2"/>
        <v>98.58146399488537</v>
      </c>
      <c r="J18" s="199">
        <f t="shared" si="3"/>
        <v>-71621971047</v>
      </c>
      <c r="K18" s="199">
        <f>J15+J16+J19+J22+J29+J30</f>
        <v>469883989357</v>
      </c>
    </row>
    <row r="19" spans="1:11" ht="18" customHeight="1">
      <c r="A19" s="319" t="s">
        <v>31</v>
      </c>
      <c r="B19" s="328" t="s">
        <v>533</v>
      </c>
      <c r="C19" s="266">
        <f>'[10]HDND'!F19</f>
        <v>7116315312</v>
      </c>
      <c r="D19" s="266">
        <f>PL08_B02!C71</f>
        <v>7500000000</v>
      </c>
      <c r="E19" s="266">
        <f>PL08_B02!D71</f>
        <v>7500000000</v>
      </c>
      <c r="F19" s="266">
        <f>PL08_B02!E71</f>
        <v>6410445620</v>
      </c>
      <c r="G19" s="330">
        <f t="shared" si="0"/>
        <v>85.47260826666667</v>
      </c>
      <c r="H19" s="331">
        <f t="shared" si="1"/>
        <v>85.47260826666667</v>
      </c>
      <c r="I19" s="331"/>
      <c r="J19" s="199">
        <f t="shared" si="3"/>
        <v>-1089554380</v>
      </c>
      <c r="K19" s="199">
        <f>J15+J16+J29</f>
        <v>292484560548</v>
      </c>
    </row>
    <row r="20" spans="1:10" ht="18" customHeight="1">
      <c r="A20" s="319" t="s">
        <v>33</v>
      </c>
      <c r="B20" s="328" t="s">
        <v>534</v>
      </c>
      <c r="C20" s="266">
        <f>'[10]HDND'!F20</f>
        <v>108452574162</v>
      </c>
      <c r="D20" s="266">
        <f>PL08_B02!C57</f>
        <v>105000000000</v>
      </c>
      <c r="E20" s="266">
        <f>PL08_B02!D57</f>
        <v>110000000000</v>
      </c>
      <c r="F20" s="266">
        <f>PL08_B02!E57</f>
        <v>137568226077</v>
      </c>
      <c r="G20" s="330">
        <f t="shared" si="0"/>
        <v>131.01735816857143</v>
      </c>
      <c r="H20" s="331">
        <f t="shared" si="1"/>
        <v>125.06202370636363</v>
      </c>
      <c r="I20" s="331">
        <f t="shared" si="2"/>
        <v>126.84643692413309</v>
      </c>
      <c r="J20" s="199">
        <f t="shared" si="3"/>
        <v>27568226077</v>
      </c>
    </row>
    <row r="21" spans="1:9" ht="18" customHeight="1">
      <c r="A21" s="319" t="s">
        <v>35</v>
      </c>
      <c r="B21" s="328" t="s">
        <v>568</v>
      </c>
      <c r="C21" s="266">
        <v>10714253744</v>
      </c>
      <c r="D21" s="266">
        <f>PL08_B02!C67</f>
        <v>8000000000</v>
      </c>
      <c r="E21" s="266">
        <f>PL08_B02!D67</f>
        <v>8000000000</v>
      </c>
      <c r="F21" s="266">
        <f>PL08_B02!E67</f>
        <v>33441090250</v>
      </c>
      <c r="G21" s="330">
        <f>F21/D21*100</f>
        <v>418.013628125</v>
      </c>
      <c r="H21" s="331">
        <f>F21/E21*100</f>
        <v>418.013628125</v>
      </c>
      <c r="I21" s="331">
        <f>F21/C21*100</f>
        <v>312.11777365947734</v>
      </c>
    </row>
    <row r="22" spans="1:10" ht="18" customHeight="1">
      <c r="A22" s="319" t="s">
        <v>481</v>
      </c>
      <c r="B22" s="328" t="s">
        <v>535</v>
      </c>
      <c r="C22" s="266">
        <f>'[10]HDND'!F22</f>
        <v>43752989640</v>
      </c>
      <c r="D22" s="266">
        <f>PL08_B02!C68</f>
        <v>57000000000</v>
      </c>
      <c r="E22" s="266">
        <f>PL08_B02!D68</f>
        <v>57000000000</v>
      </c>
      <c r="F22" s="266">
        <f>PL08_B02!E68</f>
        <v>64072398956</v>
      </c>
      <c r="G22" s="330">
        <f t="shared" si="0"/>
        <v>112.40771746666667</v>
      </c>
      <c r="H22" s="331">
        <f t="shared" si="1"/>
        <v>112.40771746666667</v>
      </c>
      <c r="I22" s="331">
        <f t="shared" si="2"/>
        <v>146.44119060934645</v>
      </c>
      <c r="J22" s="199">
        <f>F22-E22</f>
        <v>7072398956</v>
      </c>
    </row>
    <row r="23" spans="1:9" ht="18" customHeight="1">
      <c r="A23" s="319" t="s">
        <v>482</v>
      </c>
      <c r="B23" s="328" t="s">
        <v>536</v>
      </c>
      <c r="C23" s="266">
        <f>'[10]HDND'!F23</f>
        <v>498909406</v>
      </c>
      <c r="D23" s="266">
        <f>PL08_B02!C70</f>
        <v>0</v>
      </c>
      <c r="E23" s="266">
        <f>PL08_B02!D70</f>
        <v>0</v>
      </c>
      <c r="F23" s="266">
        <f>PL08_B02!E70</f>
        <v>1734693000</v>
      </c>
      <c r="G23" s="330"/>
      <c r="H23" s="331"/>
      <c r="I23" s="331">
        <f t="shared" si="2"/>
        <v>347.69699250769384</v>
      </c>
    </row>
    <row r="24" spans="1:10" s="341" customFormat="1" ht="31.5" customHeight="1">
      <c r="A24" s="342" t="s">
        <v>483</v>
      </c>
      <c r="B24" s="343" t="s">
        <v>537</v>
      </c>
      <c r="C24" s="344">
        <f>'[10]HDND'!F24</f>
        <v>37570488434</v>
      </c>
      <c r="D24" s="344">
        <f>PL08_B02!C56</f>
        <v>46000000000</v>
      </c>
      <c r="E24" s="344">
        <f>PL08_B02!D56</f>
        <v>46000000000</v>
      </c>
      <c r="F24" s="344">
        <f>PL08_B02!E56</f>
        <v>53141017799</v>
      </c>
      <c r="G24" s="363">
        <f t="shared" si="0"/>
        <v>115.52395173695653</v>
      </c>
      <c r="H24" s="345">
        <f t="shared" si="1"/>
        <v>115.52395173695653</v>
      </c>
      <c r="I24" s="345">
        <f t="shared" si="2"/>
        <v>141.44351062231388</v>
      </c>
      <c r="J24" s="199">
        <f>F24-E24</f>
        <v>7141017799</v>
      </c>
    </row>
    <row r="25" spans="1:10" ht="18" customHeight="1">
      <c r="A25" s="319" t="s">
        <v>484</v>
      </c>
      <c r="B25" s="328" t="s">
        <v>538</v>
      </c>
      <c r="C25" s="266">
        <f>'[10]HDND'!F25</f>
        <v>141303867178</v>
      </c>
      <c r="D25" s="266">
        <f>PL08_B02!C59</f>
        <v>65000000000</v>
      </c>
      <c r="E25" s="266">
        <f>PL08_B02!D59</f>
        <v>70000000000</v>
      </c>
      <c r="F25" s="266">
        <f>F26+F27+F28</f>
        <v>162847904263</v>
      </c>
      <c r="G25" s="330">
        <f t="shared" si="0"/>
        <v>250.5352373276923</v>
      </c>
      <c r="H25" s="331">
        <f t="shared" si="1"/>
        <v>232.63986323285715</v>
      </c>
      <c r="I25" s="331">
        <f t="shared" si="2"/>
        <v>115.24660118315167</v>
      </c>
      <c r="J25" s="199">
        <f>F25-E25</f>
        <v>92847904263</v>
      </c>
    </row>
    <row r="26" spans="1:9" s="338" customFormat="1" ht="17.25" customHeight="1">
      <c r="A26" s="333"/>
      <c r="B26" s="368" t="s">
        <v>539</v>
      </c>
      <c r="C26" s="335">
        <f>'[10]HDND'!F26</f>
        <v>20739054209</v>
      </c>
      <c r="D26" s="335">
        <f>PL08_B02!C60</f>
        <v>7000000000</v>
      </c>
      <c r="E26" s="335">
        <f>PL08_B02!D60</f>
        <v>7000000000</v>
      </c>
      <c r="F26" s="335">
        <f>PL08_B02!E60</f>
        <v>29980547231</v>
      </c>
      <c r="G26" s="336"/>
      <c r="H26" s="337"/>
      <c r="I26" s="337">
        <f t="shared" si="2"/>
        <v>144.5608219587445</v>
      </c>
    </row>
    <row r="27" spans="1:9" s="338" customFormat="1" ht="17.25" customHeight="1">
      <c r="A27" s="333"/>
      <c r="B27" s="368" t="s">
        <v>540</v>
      </c>
      <c r="C27" s="335">
        <f>'[10]HDND'!F27</f>
        <v>102001419239</v>
      </c>
      <c r="D27" s="335">
        <f>PL08_B02!C61</f>
        <v>0</v>
      </c>
      <c r="E27" s="335">
        <f>PL08_B02!D61</f>
        <v>0</v>
      </c>
      <c r="F27" s="335">
        <f>PL08_B02!E61</f>
        <v>109414509310</v>
      </c>
      <c r="G27" s="336"/>
      <c r="H27" s="337"/>
      <c r="I27" s="337">
        <f t="shared" si="2"/>
        <v>107.2676342410789</v>
      </c>
    </row>
    <row r="28" spans="1:9" s="338" customFormat="1" ht="17.25" customHeight="1">
      <c r="A28" s="333"/>
      <c r="B28" s="334" t="s">
        <v>486</v>
      </c>
      <c r="C28" s="335">
        <f>'[10]HDND'!F28</f>
        <v>18563393730</v>
      </c>
      <c r="D28" s="335">
        <f>PL08_B02!C65</f>
        <v>0</v>
      </c>
      <c r="E28" s="335">
        <f>PL08_B02!D65</f>
        <v>0</v>
      </c>
      <c r="F28" s="335">
        <f>PL08_B02!E65</f>
        <v>23452847722</v>
      </c>
      <c r="G28" s="336"/>
      <c r="H28" s="337"/>
      <c r="I28" s="337">
        <f t="shared" si="2"/>
        <v>126.33922472967987</v>
      </c>
    </row>
    <row r="29" spans="1:10" ht="17.25" customHeight="1">
      <c r="A29" s="319" t="s">
        <v>485</v>
      </c>
      <c r="B29" s="328" t="s">
        <v>541</v>
      </c>
      <c r="C29" s="263">
        <f>'[10]HDND'!F29</f>
        <v>599652934660</v>
      </c>
      <c r="D29" s="263">
        <f>PL08_B02!C69</f>
        <v>300000000000</v>
      </c>
      <c r="E29" s="263">
        <f>PL08_B02!D69</f>
        <v>485000000000</v>
      </c>
      <c r="F29" s="263">
        <f>PL08_B02!E69</f>
        <v>796660197330</v>
      </c>
      <c r="G29" s="330">
        <f t="shared" si="0"/>
        <v>265.55339911</v>
      </c>
      <c r="H29" s="331">
        <f t="shared" si="1"/>
        <v>164.25983450103092</v>
      </c>
      <c r="I29" s="331">
        <f t="shared" si="2"/>
        <v>132.85354765781344</v>
      </c>
      <c r="J29" s="199">
        <f>F29-E29</f>
        <v>311660197330</v>
      </c>
    </row>
    <row r="30" spans="1:10" ht="17.25" customHeight="1">
      <c r="A30" s="319" t="s">
        <v>487</v>
      </c>
      <c r="B30" s="328" t="s">
        <v>189</v>
      </c>
      <c r="C30" s="263">
        <f>'[10]HDND'!F30</f>
        <v>87297918530</v>
      </c>
      <c r="D30" s="263">
        <f>PL08_B02!C58</f>
        <v>66000000000</v>
      </c>
      <c r="E30" s="263">
        <f>PL08_B02!D58</f>
        <v>71000000000</v>
      </c>
      <c r="F30" s="263">
        <f>PL08_B02!E58</f>
        <v>242416584233</v>
      </c>
      <c r="G30" s="330">
        <f t="shared" si="0"/>
        <v>367.29785489848484</v>
      </c>
      <c r="H30" s="331">
        <f t="shared" si="1"/>
        <v>341.43180877887323</v>
      </c>
      <c r="I30" s="331">
        <f t="shared" si="2"/>
        <v>277.68884793019816</v>
      </c>
      <c r="J30" s="199">
        <f>F30-E30</f>
        <v>171416584233</v>
      </c>
    </row>
    <row r="31" spans="1:10" ht="17.25" customHeight="1">
      <c r="A31" s="319" t="s">
        <v>488</v>
      </c>
      <c r="B31" s="328" t="s">
        <v>747</v>
      </c>
      <c r="C31" s="263">
        <v>27541053235</v>
      </c>
      <c r="D31" s="263">
        <f>PL08_B02!D73</f>
        <v>17000000000</v>
      </c>
      <c r="E31" s="263">
        <f>PL08_B02!D73</f>
        <v>17000000000</v>
      </c>
      <c r="F31" s="263">
        <f>PL08_B02!E73</f>
        <v>27400022634</v>
      </c>
      <c r="G31" s="330">
        <f t="shared" si="0"/>
        <v>161.17660372941177</v>
      </c>
      <c r="H31" s="331">
        <f t="shared" si="1"/>
        <v>161.17660372941177</v>
      </c>
      <c r="I31" s="331">
        <f t="shared" si="2"/>
        <v>99.48792589812516</v>
      </c>
      <c r="J31" s="199"/>
    </row>
    <row r="32" spans="1:10" s="204" customFormat="1" ht="29.25" customHeight="1">
      <c r="A32" s="319" t="s">
        <v>746</v>
      </c>
      <c r="B32" s="364" t="s">
        <v>36</v>
      </c>
      <c r="C32" s="365">
        <f>'[10]HDND'!F31-C21-C31</f>
        <v>94673906660</v>
      </c>
      <c r="D32" s="365">
        <f>PL08_B02!D80</f>
        <v>70000000000</v>
      </c>
      <c r="E32" s="365">
        <f>PL08_B02!D80</f>
        <v>70000000000</v>
      </c>
      <c r="F32" s="365">
        <f>PL08_B02!E80</f>
        <v>119416811721</v>
      </c>
      <c r="G32" s="366">
        <f t="shared" si="0"/>
        <v>170.5954453157143</v>
      </c>
      <c r="H32" s="367">
        <f t="shared" si="1"/>
        <v>170.5954453157143</v>
      </c>
      <c r="I32" s="367">
        <f t="shared" si="2"/>
        <v>126.13487277952791</v>
      </c>
      <c r="J32" s="199">
        <f>F32-E32</f>
        <v>49416811721</v>
      </c>
    </row>
    <row r="33" spans="1:10" s="341" customFormat="1" ht="30.75">
      <c r="A33" s="287" t="s">
        <v>37</v>
      </c>
      <c r="B33" s="339" t="s">
        <v>489</v>
      </c>
      <c r="C33" s="292">
        <f>'[10]HDND'!F32</f>
        <v>187877906932</v>
      </c>
      <c r="D33" s="292">
        <f>PL08_B02!C103</f>
        <v>0</v>
      </c>
      <c r="E33" s="292">
        <f>PL08_B02!D103</f>
        <v>300000000000</v>
      </c>
      <c r="F33" s="292">
        <f>SUM(F34:F37)</f>
        <v>168631466711</v>
      </c>
      <c r="G33" s="292"/>
      <c r="H33" s="340">
        <f t="shared" si="1"/>
        <v>56.210488903666665</v>
      </c>
      <c r="I33" s="340">
        <f t="shared" si="2"/>
        <v>89.7558789453802</v>
      </c>
      <c r="J33" s="341">
        <f>(F32-PL08_B02!E76)/HDND!E32</f>
        <v>1.705954453157143</v>
      </c>
    </row>
    <row r="34" spans="1:9" ht="20.25" customHeight="1">
      <c r="A34" s="319" t="s">
        <v>39</v>
      </c>
      <c r="B34" s="328" t="s">
        <v>126</v>
      </c>
      <c r="C34" s="266">
        <f>'[10]HDND'!F33</f>
        <v>38727247845</v>
      </c>
      <c r="D34" s="266">
        <f>PL08_B02!C104</f>
        <v>0</v>
      </c>
      <c r="E34" s="266">
        <f>PL08_B02!D104</f>
        <v>20365000000</v>
      </c>
      <c r="F34" s="266">
        <f>PL08_B02!E104</f>
        <v>42768856755</v>
      </c>
      <c r="G34" s="330"/>
      <c r="H34" s="331"/>
      <c r="I34" s="331">
        <f t="shared" si="2"/>
        <v>110.4360860502557</v>
      </c>
    </row>
    <row r="35" spans="1:9" ht="20.25" customHeight="1">
      <c r="A35" s="319" t="s">
        <v>40</v>
      </c>
      <c r="B35" s="328" t="s">
        <v>127</v>
      </c>
      <c r="C35" s="266">
        <f>'[10]HDND'!F34</f>
        <v>3023742451</v>
      </c>
      <c r="D35" s="266">
        <f>PL08_B02!C106</f>
        <v>0</v>
      </c>
      <c r="E35" s="266">
        <f>PL08_B02!D106</f>
        <v>0</v>
      </c>
      <c r="F35" s="266">
        <f>PL08_B02!E106</f>
        <v>4997385950</v>
      </c>
      <c r="G35" s="330"/>
      <c r="H35" s="331"/>
      <c r="I35" s="331">
        <f t="shared" si="2"/>
        <v>165.2715477916211</v>
      </c>
    </row>
    <row r="36" spans="1:9" ht="20.25" customHeight="1">
      <c r="A36" s="319" t="s">
        <v>41</v>
      </c>
      <c r="B36" s="328" t="s">
        <v>542</v>
      </c>
      <c r="C36" s="266">
        <f>'[10]HDND'!F35</f>
        <v>116227216747</v>
      </c>
      <c r="D36" s="266">
        <f>PL08_B02!C114</f>
        <v>0</v>
      </c>
      <c r="E36" s="266">
        <f>PL08_B02!D114</f>
        <v>252635000000</v>
      </c>
      <c r="F36" s="266">
        <f>PL08_B02!E114</f>
        <v>88255976871</v>
      </c>
      <c r="G36" s="330"/>
      <c r="H36" s="331"/>
      <c r="I36" s="331">
        <f t="shared" si="2"/>
        <v>75.93400181225455</v>
      </c>
    </row>
    <row r="37" spans="1:9" ht="20.25" customHeight="1">
      <c r="A37" s="319" t="s">
        <v>42</v>
      </c>
      <c r="B37" s="328" t="s">
        <v>543</v>
      </c>
      <c r="C37" s="266">
        <f>'[10]HDND'!F36</f>
        <v>29899699889</v>
      </c>
      <c r="D37" s="266">
        <f>PL08_B02!C107</f>
        <v>0</v>
      </c>
      <c r="E37" s="266">
        <f>PL08_B02!D107</f>
        <v>27000000000</v>
      </c>
      <c r="F37" s="266">
        <f>PL08_B02!E107</f>
        <v>32609247135</v>
      </c>
      <c r="G37" s="330"/>
      <c r="H37" s="331"/>
      <c r="I37" s="331">
        <f t="shared" si="2"/>
        <v>109.06212188101871</v>
      </c>
    </row>
    <row r="38" spans="1:9" ht="17.25" customHeight="1">
      <c r="A38" s="320">
        <v>2</v>
      </c>
      <c r="B38" s="326" t="s">
        <v>544</v>
      </c>
      <c r="C38" s="321">
        <f>'[10]HDND'!F37</f>
        <v>270535649875</v>
      </c>
      <c r="D38" s="321">
        <f>PL08_B02!C93</f>
        <v>390000000000</v>
      </c>
      <c r="E38" s="321">
        <f>PL08_B02!D93</f>
        <v>390000000000</v>
      </c>
      <c r="F38" s="321">
        <f>PL08_B02!E93</f>
        <v>189727433888</v>
      </c>
      <c r="G38" s="322">
        <f t="shared" si="0"/>
        <v>48.64805997128205</v>
      </c>
      <c r="H38" s="323">
        <f t="shared" si="1"/>
        <v>48.64805997128205</v>
      </c>
      <c r="I38" s="323">
        <f t="shared" si="2"/>
        <v>70.13028928929066</v>
      </c>
    </row>
    <row r="39" spans="1:9" ht="18.75" customHeight="1">
      <c r="A39" s="320" t="s">
        <v>490</v>
      </c>
      <c r="B39" s="326" t="s">
        <v>491</v>
      </c>
      <c r="C39" s="321">
        <f>'[10]HDND'!F38</f>
        <v>4934490286621</v>
      </c>
      <c r="D39" s="321">
        <f>SUM(D40:D43)</f>
        <v>4623824000000</v>
      </c>
      <c r="E39" s="321">
        <f>SUM(E40:E43)</f>
        <v>4623824000000</v>
      </c>
      <c r="F39" s="321">
        <f>SUM(F40:F43)</f>
        <v>5420804877223</v>
      </c>
      <c r="G39" s="322">
        <f t="shared" si="0"/>
        <v>117.23640167149527</v>
      </c>
      <c r="H39" s="323">
        <f t="shared" si="1"/>
        <v>117.23640167149527</v>
      </c>
      <c r="I39" s="323">
        <f t="shared" si="2"/>
        <v>109.85541691956627</v>
      </c>
    </row>
    <row r="40" spans="1:9" ht="19.5" customHeight="1">
      <c r="A40" s="319">
        <v>1</v>
      </c>
      <c r="B40" s="328" t="s">
        <v>492</v>
      </c>
      <c r="C40" s="266">
        <f>'[10]HDND'!F39</f>
        <v>1900788000000</v>
      </c>
      <c r="D40" s="266">
        <f>PL08_B02!C116</f>
        <v>1900788000000</v>
      </c>
      <c r="E40" s="266">
        <f>PL08_B02!D116</f>
        <v>1900788000000</v>
      </c>
      <c r="F40" s="266">
        <f>PL08_B02!G116</f>
        <v>1900788000000</v>
      </c>
      <c r="G40" s="330">
        <f t="shared" si="0"/>
        <v>100</v>
      </c>
      <c r="H40" s="331">
        <f t="shared" si="1"/>
        <v>100</v>
      </c>
      <c r="I40" s="331">
        <f t="shared" si="2"/>
        <v>100</v>
      </c>
    </row>
    <row r="41" spans="1:9" ht="19.5" customHeight="1">
      <c r="A41" s="319">
        <v>2</v>
      </c>
      <c r="B41" s="328" t="s">
        <v>493</v>
      </c>
      <c r="C41" s="264">
        <f>'[10]HDND'!F40</f>
        <v>3033702286621</v>
      </c>
      <c r="D41" s="264">
        <f>PL08_B02!C117</f>
        <v>2723036000000</v>
      </c>
      <c r="E41" s="264">
        <f>PL08_B02!D117</f>
        <v>2723036000000</v>
      </c>
      <c r="F41" s="264">
        <f>PL08_B02!G117</f>
        <v>3520016877223</v>
      </c>
      <c r="G41" s="330">
        <f t="shared" si="0"/>
        <v>129.2680991813182</v>
      </c>
      <c r="H41" s="331">
        <f t="shared" si="1"/>
        <v>129.2680991813182</v>
      </c>
      <c r="I41" s="331">
        <f t="shared" si="2"/>
        <v>116.03039931593509</v>
      </c>
    </row>
    <row r="42" spans="1:9" ht="19.5" customHeight="1">
      <c r="A42" s="319">
        <v>3</v>
      </c>
      <c r="B42" s="328" t="s">
        <v>494</v>
      </c>
      <c r="C42" s="266">
        <f>'[10]HDND'!F41</f>
        <v>0</v>
      </c>
      <c r="D42" s="266"/>
      <c r="E42" s="266"/>
      <c r="F42" s="266"/>
      <c r="G42" s="330"/>
      <c r="H42" s="331"/>
      <c r="I42" s="323"/>
    </row>
    <row r="43" spans="1:9" ht="19.5" customHeight="1">
      <c r="A43" s="319">
        <v>4</v>
      </c>
      <c r="B43" s="328" t="s">
        <v>495</v>
      </c>
      <c r="C43" s="266">
        <f>'[10]HDND'!F42</f>
        <v>0</v>
      </c>
      <c r="D43" s="266"/>
      <c r="E43" s="266"/>
      <c r="F43" s="266"/>
      <c r="G43" s="330"/>
      <c r="H43" s="331"/>
      <c r="I43" s="323"/>
    </row>
    <row r="44" spans="1:9" s="206" customFormat="1" ht="30.75">
      <c r="A44" s="320" t="s">
        <v>117</v>
      </c>
      <c r="B44" s="346" t="s">
        <v>496</v>
      </c>
      <c r="C44" s="292">
        <f>'[10]HDND'!F43</f>
        <v>110000000000</v>
      </c>
      <c r="D44" s="292">
        <f>PL08_B02!C102</f>
        <v>0</v>
      </c>
      <c r="E44" s="292">
        <f>PL08_B02!D102</f>
        <v>80000000000</v>
      </c>
      <c r="F44" s="292">
        <f>PL08_B02!E102</f>
        <v>228000000000</v>
      </c>
      <c r="G44" s="322"/>
      <c r="H44" s="347">
        <f t="shared" si="1"/>
        <v>285</v>
      </c>
      <c r="I44" s="347">
        <f t="shared" si="2"/>
        <v>207.27272727272728</v>
      </c>
    </row>
    <row r="45" spans="1:9" s="206" customFormat="1" ht="19.5" customHeight="1">
      <c r="A45" s="320" t="s">
        <v>119</v>
      </c>
      <c r="B45" s="326" t="s">
        <v>497</v>
      </c>
      <c r="C45" s="321">
        <f>'[10]HDND'!F44</f>
        <v>179067934429</v>
      </c>
      <c r="D45" s="321">
        <f>PL08_B02!C100</f>
        <v>0</v>
      </c>
      <c r="E45" s="321">
        <f>PL08_B02!D100</f>
        <v>0</v>
      </c>
      <c r="F45" s="321">
        <f>PL08_B02!E100</f>
        <v>199412541761</v>
      </c>
      <c r="G45" s="322"/>
      <c r="H45" s="323"/>
      <c r="I45" s="323">
        <f t="shared" si="2"/>
        <v>111.36139052302889</v>
      </c>
    </row>
    <row r="46" spans="1:9" ht="19.5" customHeight="1">
      <c r="A46" s="320" t="s">
        <v>121</v>
      </c>
      <c r="B46" s="326" t="s">
        <v>498</v>
      </c>
      <c r="C46" s="321">
        <f>'[10]HDND'!F45</f>
        <v>1123055211680</v>
      </c>
      <c r="D46" s="321">
        <f>PL08_B02!C101</f>
        <v>0</v>
      </c>
      <c r="E46" s="321">
        <f>PL08_B02!D101</f>
        <v>0</v>
      </c>
      <c r="F46" s="321">
        <f>PL08_B02!E101</f>
        <v>985261958905</v>
      </c>
      <c r="G46" s="322"/>
      <c r="H46" s="323"/>
      <c r="I46" s="323">
        <f t="shared" si="2"/>
        <v>87.73050057183988</v>
      </c>
    </row>
    <row r="47" spans="1:9" ht="19.5" customHeight="1">
      <c r="A47" s="320" t="s">
        <v>499</v>
      </c>
      <c r="B47" s="326" t="s">
        <v>500</v>
      </c>
      <c r="C47" s="321">
        <f>'[10]HDND'!F46</f>
        <v>0</v>
      </c>
      <c r="D47" s="321"/>
      <c r="E47" s="321"/>
      <c r="F47" s="321"/>
      <c r="G47" s="322"/>
      <c r="H47" s="323"/>
      <c r="I47" s="323"/>
    </row>
    <row r="48" spans="1:9" s="206" customFormat="1" ht="19.5" customHeight="1">
      <c r="A48" s="320" t="s">
        <v>300</v>
      </c>
      <c r="B48" s="326" t="s">
        <v>501</v>
      </c>
      <c r="C48" s="321">
        <f>'[10]HDND'!F47</f>
        <v>700000</v>
      </c>
      <c r="D48" s="321"/>
      <c r="E48" s="321"/>
      <c r="F48" s="321">
        <f>PL08_B02!F121</f>
        <v>0</v>
      </c>
      <c r="G48" s="322"/>
      <c r="H48" s="323"/>
      <c r="I48" s="323"/>
    </row>
    <row r="49" spans="1:9" s="206" customFormat="1" ht="21" customHeight="1">
      <c r="A49" s="320" t="s">
        <v>312</v>
      </c>
      <c r="B49" s="326" t="s">
        <v>502</v>
      </c>
      <c r="C49" s="321">
        <f>'[10]HDND'!F48</f>
        <v>39312719166</v>
      </c>
      <c r="D49" s="321"/>
      <c r="E49" s="321"/>
      <c r="F49" s="321">
        <f>PL08_B02!E120</f>
        <v>55464540634</v>
      </c>
      <c r="G49" s="322"/>
      <c r="H49" s="323"/>
      <c r="I49" s="323">
        <f t="shared" si="2"/>
        <v>141.08548533566986</v>
      </c>
    </row>
    <row r="50" spans="1:11" ht="18" customHeight="1">
      <c r="A50" s="320" t="s">
        <v>503</v>
      </c>
      <c r="B50" s="348" t="s">
        <v>504</v>
      </c>
      <c r="C50" s="349">
        <f>'[10]HDND'!F49</f>
        <v>216058699336</v>
      </c>
      <c r="D50" s="349"/>
      <c r="E50" s="349"/>
      <c r="F50" s="349">
        <f>F11-F51</f>
        <v>239049449329</v>
      </c>
      <c r="G50" s="330"/>
      <c r="H50" s="331"/>
      <c r="I50" s="323"/>
      <c r="J50" s="199">
        <f>F11-F51</f>
        <v>239049449329</v>
      </c>
      <c r="K50" s="199">
        <f>J50-'Can doi'!B17</f>
        <v>0</v>
      </c>
    </row>
    <row r="51" spans="1:10" ht="15" customHeight="1">
      <c r="A51" s="319"/>
      <c r="B51" s="326" t="s">
        <v>505</v>
      </c>
      <c r="C51" s="321">
        <f>'[10]HDND'!F50</f>
        <v>8268160074197</v>
      </c>
      <c r="D51" s="321">
        <f>D52+D74+D79+D80</f>
        <v>6193325000000</v>
      </c>
      <c r="E51" s="321">
        <f>E52+E74+E79+E80</f>
        <v>6777324000000</v>
      </c>
      <c r="F51" s="321">
        <f>F52+F74+F79+F80</f>
        <v>9191008222447</v>
      </c>
      <c r="G51" s="322">
        <f t="shared" si="0"/>
        <v>148.40183943918655</v>
      </c>
      <c r="H51" s="323">
        <f t="shared" si="1"/>
        <v>135.61411882399307</v>
      </c>
      <c r="I51" s="323">
        <f t="shared" si="2"/>
        <v>111.16146929871367</v>
      </c>
      <c r="J51" s="199">
        <f>'PL08-B03'!E75-'PL08-B03'!E69</f>
        <v>9191008222447</v>
      </c>
    </row>
    <row r="52" spans="1:9" ht="18" customHeight="1">
      <c r="A52" s="320" t="s">
        <v>18</v>
      </c>
      <c r="B52" s="326" t="s">
        <v>506</v>
      </c>
      <c r="C52" s="327">
        <f>'[10]HDND'!F51</f>
        <v>8050932968452</v>
      </c>
      <c r="D52" s="327">
        <f>D53+D56+D57+D70+D71+D72+D73</f>
        <v>6193325000000</v>
      </c>
      <c r="E52" s="327">
        <f>E53+E56+E57+E70+E71+E72+E73</f>
        <v>6437324000000</v>
      </c>
      <c r="F52" s="327">
        <f>F53+F56+F57+F70+F71+F72+F73</f>
        <v>8967832861473</v>
      </c>
      <c r="G52" s="322">
        <f t="shared" si="0"/>
        <v>144.7983572874506</v>
      </c>
      <c r="H52" s="323">
        <f t="shared" si="1"/>
        <v>139.30995024443388</v>
      </c>
      <c r="I52" s="323">
        <f t="shared" si="2"/>
        <v>111.38874086536205</v>
      </c>
    </row>
    <row r="53" spans="1:9" ht="18" customHeight="1">
      <c r="A53" s="320">
        <v>1</v>
      </c>
      <c r="B53" s="326" t="s">
        <v>245</v>
      </c>
      <c r="C53" s="327">
        <f>'[10]HDND'!F52</f>
        <v>2119259196341</v>
      </c>
      <c r="D53" s="327">
        <f>SUM(D54+D55)</f>
        <v>1475870000000</v>
      </c>
      <c r="E53" s="327">
        <f>SUM(E54+E55)</f>
        <v>1717970000000</v>
      </c>
      <c r="F53" s="327">
        <f>SUM(F54+F55)</f>
        <v>2189880948382</v>
      </c>
      <c r="G53" s="322">
        <f t="shared" si="0"/>
        <v>148.37898652198365</v>
      </c>
      <c r="H53" s="323">
        <f t="shared" si="1"/>
        <v>127.46910297513926</v>
      </c>
      <c r="I53" s="323">
        <f t="shared" si="2"/>
        <v>103.33237917112412</v>
      </c>
    </row>
    <row r="54" spans="1:9" ht="18" customHeight="1">
      <c r="A54" s="320" t="s">
        <v>22</v>
      </c>
      <c r="B54" s="326" t="s">
        <v>507</v>
      </c>
      <c r="C54" s="321">
        <f>'[10]HDND'!F53</f>
        <v>2118159196341</v>
      </c>
      <c r="D54" s="782">
        <f>'PL08-B03'!C18</f>
        <v>1474870000000</v>
      </c>
      <c r="E54" s="782">
        <f>'PL08-B03'!D18</f>
        <v>1716970000000</v>
      </c>
      <c r="F54" s="321">
        <f>'PL08-B03'!E20</f>
        <v>2188880948382</v>
      </c>
      <c r="G54" s="322">
        <f t="shared" si="0"/>
        <v>148.4117887259216</v>
      </c>
      <c r="H54" s="323">
        <f t="shared" si="1"/>
        <v>127.48510156741236</v>
      </c>
      <c r="I54" s="323">
        <f>F54/C54*100</f>
        <v>103.33883081890953</v>
      </c>
    </row>
    <row r="55" spans="1:9" ht="18" customHeight="1">
      <c r="A55" s="320" t="s">
        <v>37</v>
      </c>
      <c r="B55" s="326" t="s">
        <v>508</v>
      </c>
      <c r="C55" s="321">
        <f>'[10]HDND'!F54</f>
        <v>1100000000</v>
      </c>
      <c r="D55" s="321">
        <f>'PL08-B03'!C24</f>
        <v>1000000000</v>
      </c>
      <c r="E55" s="321">
        <f>'PL08-B03'!D24</f>
        <v>1000000000</v>
      </c>
      <c r="F55" s="321">
        <f>'PL08-B03'!E24</f>
        <v>1000000000</v>
      </c>
      <c r="G55" s="322"/>
      <c r="H55" s="323">
        <f t="shared" si="1"/>
        <v>100</v>
      </c>
      <c r="I55" s="323">
        <f t="shared" si="2"/>
        <v>90.9090909090909</v>
      </c>
    </row>
    <row r="56" spans="1:9" ht="18" customHeight="1">
      <c r="A56" s="320">
        <v>2</v>
      </c>
      <c r="B56" s="326" t="s">
        <v>509</v>
      </c>
      <c r="C56" s="321">
        <f>'[10]HDND'!F55</f>
        <v>70165000000</v>
      </c>
      <c r="D56" s="321">
        <f>'PL08-B03'!C25</f>
        <v>0</v>
      </c>
      <c r="E56" s="321">
        <f>'PL08-B03'!D25</f>
        <v>0</v>
      </c>
      <c r="F56" s="321">
        <f>'PL08-B03'!E25</f>
        <v>223455050000</v>
      </c>
      <c r="G56" s="322"/>
      <c r="H56" s="323"/>
      <c r="I56" s="323">
        <f t="shared" si="2"/>
        <v>318.4708187842942</v>
      </c>
    </row>
    <row r="57" spans="1:9" ht="18" customHeight="1">
      <c r="A57" s="320">
        <v>3</v>
      </c>
      <c r="B57" s="326" t="s">
        <v>244</v>
      </c>
      <c r="C57" s="321">
        <f>'[10]HDND'!F56</f>
        <v>4896132813206</v>
      </c>
      <c r="D57" s="782">
        <f>'PL08-B03'!C26</f>
        <v>4621295000000</v>
      </c>
      <c r="E57" s="321">
        <f>'PL08-B03'!D26</f>
        <v>4623194000000</v>
      </c>
      <c r="F57" s="321">
        <f>SUM(F58:F69)</f>
        <v>5062568969275</v>
      </c>
      <c r="G57" s="322">
        <f t="shared" si="0"/>
        <v>109.5487080845304</v>
      </c>
      <c r="H57" s="323">
        <f t="shared" si="1"/>
        <v>109.50371040616076</v>
      </c>
      <c r="I57" s="323">
        <f t="shared" si="2"/>
        <v>103.39933907879467</v>
      </c>
    </row>
    <row r="58" spans="1:9" ht="18" customHeight="1">
      <c r="A58" s="319" t="s">
        <v>59</v>
      </c>
      <c r="B58" s="328" t="s">
        <v>510</v>
      </c>
      <c r="C58" s="266">
        <f>'[10]HDND'!F57</f>
        <v>62693582424</v>
      </c>
      <c r="D58" s="266">
        <f>'PL08-B03'!C51</f>
        <v>0</v>
      </c>
      <c r="E58" s="266">
        <f>'PL08-B03'!D51</f>
        <v>14930000000</v>
      </c>
      <c r="F58" s="266">
        <f>'PL08-B03'!E51</f>
        <v>19423806036</v>
      </c>
      <c r="G58" s="330"/>
      <c r="H58" s="331">
        <f t="shared" si="1"/>
        <v>130.09916969859344</v>
      </c>
      <c r="I58" s="331">
        <f t="shared" si="2"/>
        <v>30.982128130174118</v>
      </c>
    </row>
    <row r="59" spans="1:9" ht="18" customHeight="1">
      <c r="A59" s="319" t="s">
        <v>67</v>
      </c>
      <c r="B59" s="328" t="s">
        <v>511</v>
      </c>
      <c r="C59" s="266">
        <f>'[10]HDND'!F58</f>
        <v>601021666840</v>
      </c>
      <c r="D59" s="266">
        <f>'PL08-B03'!C41</f>
        <v>0</v>
      </c>
      <c r="E59" s="266">
        <f>'PL08-B03'!D41</f>
        <v>592778000000</v>
      </c>
      <c r="F59" s="266">
        <f>'PL08-B03'!E41</f>
        <v>620445068659</v>
      </c>
      <c r="G59" s="330"/>
      <c r="H59" s="331">
        <f t="shared" si="1"/>
        <v>104.66735753671695</v>
      </c>
      <c r="I59" s="331">
        <f t="shared" si="2"/>
        <v>103.23173071631888</v>
      </c>
    </row>
    <row r="60" spans="1:9" ht="18" customHeight="1">
      <c r="A60" s="319" t="s">
        <v>336</v>
      </c>
      <c r="B60" s="328" t="s">
        <v>512</v>
      </c>
      <c r="C60" s="264">
        <f>'[10]HDND'!F59</f>
        <v>1958080655121</v>
      </c>
      <c r="D60" s="264">
        <f>'PL08-B03'!C30</f>
        <v>1997383000000</v>
      </c>
      <c r="E60" s="264">
        <f>'PL08-B03'!D30</f>
        <v>2040835000000</v>
      </c>
      <c r="F60" s="264">
        <f>'PL08-B03'!E30</f>
        <v>1984534221151</v>
      </c>
      <c r="G60" s="330">
        <f t="shared" si="0"/>
        <v>99.35671932478648</v>
      </c>
      <c r="H60" s="331">
        <f t="shared" si="1"/>
        <v>97.24128707862224</v>
      </c>
      <c r="I60" s="331">
        <f t="shared" si="2"/>
        <v>101.35099470804818</v>
      </c>
    </row>
    <row r="61" spans="1:9" ht="18" customHeight="1">
      <c r="A61" s="319" t="s">
        <v>338</v>
      </c>
      <c r="B61" s="328" t="s">
        <v>513</v>
      </c>
      <c r="C61" s="266">
        <f>'[10]HDND'!F60</f>
        <v>306357261813</v>
      </c>
      <c r="D61" s="266">
        <f>'PL08-B03'!C34</f>
        <v>0</v>
      </c>
      <c r="E61" s="266">
        <f>'PL08-B03'!D34</f>
        <v>325568000000</v>
      </c>
      <c r="F61" s="266">
        <f>'PL08-B03'!E34</f>
        <v>330813289004</v>
      </c>
      <c r="G61" s="330"/>
      <c r="H61" s="331">
        <f t="shared" si="1"/>
        <v>101.61111933728131</v>
      </c>
      <c r="I61" s="331">
        <f t="shared" si="2"/>
        <v>107.9828455987206</v>
      </c>
    </row>
    <row r="62" spans="1:9" ht="18" customHeight="1">
      <c r="A62" s="319" t="s">
        <v>340</v>
      </c>
      <c r="B62" s="328" t="s">
        <v>514</v>
      </c>
      <c r="C62" s="266">
        <f>'[10]HDND'!F61</f>
        <v>74747448286</v>
      </c>
      <c r="D62" s="266">
        <f>'PL08-B03'!C36</f>
        <v>0</v>
      </c>
      <c r="E62" s="266">
        <f>'PL08-B03'!D36</f>
        <v>49253000000</v>
      </c>
      <c r="F62" s="266">
        <f>'PL08-B03'!E36+'PL08-B03'!E38</f>
        <v>62533181327</v>
      </c>
      <c r="G62" s="330"/>
      <c r="H62" s="331">
        <f t="shared" si="1"/>
        <v>126.96319275374088</v>
      </c>
      <c r="I62" s="331">
        <f t="shared" si="2"/>
        <v>83.65928571599454</v>
      </c>
    </row>
    <row r="63" spans="1:9" ht="18" customHeight="1">
      <c r="A63" s="319" t="s">
        <v>342</v>
      </c>
      <c r="B63" s="328" t="s">
        <v>515</v>
      </c>
      <c r="C63" s="266">
        <f>'[10]HDND'!F62</f>
        <v>20809459900</v>
      </c>
      <c r="D63" s="266">
        <f>'PL08-B03'!C35</f>
        <v>17359000000</v>
      </c>
      <c r="E63" s="266">
        <f>'PL08-B03'!D35</f>
        <v>24232000000</v>
      </c>
      <c r="F63" s="266">
        <f>'PL08-B03'!E35</f>
        <v>17831911731</v>
      </c>
      <c r="G63" s="330">
        <f>F63/D63*100</f>
        <v>102.72430284578604</v>
      </c>
      <c r="H63" s="331">
        <f t="shared" si="1"/>
        <v>73.58827885028062</v>
      </c>
      <c r="I63" s="331">
        <f t="shared" si="2"/>
        <v>85.69137217732403</v>
      </c>
    </row>
    <row r="64" spans="1:9" ht="18" customHeight="1">
      <c r="A64" s="319" t="s">
        <v>344</v>
      </c>
      <c r="B64" s="328" t="s">
        <v>516</v>
      </c>
      <c r="C64" s="266">
        <f>'[10]HDND'!F63</f>
        <v>34507165804</v>
      </c>
      <c r="D64" s="266">
        <f>'PL08-B03'!C37</f>
        <v>0</v>
      </c>
      <c r="E64" s="266">
        <f>'PL08-B03'!D37</f>
        <v>21107000000</v>
      </c>
      <c r="F64" s="266">
        <f>'PL08-B03'!E37</f>
        <v>31637425848</v>
      </c>
      <c r="G64" s="330"/>
      <c r="H64" s="331">
        <f t="shared" si="1"/>
        <v>149.8906800966504</v>
      </c>
      <c r="I64" s="331">
        <f t="shared" si="2"/>
        <v>91.68364051600162</v>
      </c>
    </row>
    <row r="65" spans="1:9" ht="18" customHeight="1">
      <c r="A65" s="319" t="s">
        <v>346</v>
      </c>
      <c r="B65" s="328" t="s">
        <v>517</v>
      </c>
      <c r="C65" s="266">
        <f>'[10]HDND'!F64</f>
        <v>390627654742</v>
      </c>
      <c r="D65" s="266">
        <f>'PL08-B03'!C39</f>
        <v>0</v>
      </c>
      <c r="E65" s="266">
        <f>'PL08-B03'!D39</f>
        <v>197667000000</v>
      </c>
      <c r="F65" s="266">
        <f>'PL08-B03'!E39</f>
        <v>415344413009</v>
      </c>
      <c r="G65" s="330"/>
      <c r="H65" s="331">
        <f t="shared" si="1"/>
        <v>210.1232947376143</v>
      </c>
      <c r="I65" s="331">
        <f t="shared" si="2"/>
        <v>106.32744711413862</v>
      </c>
    </row>
    <row r="66" spans="1:9" ht="18" customHeight="1">
      <c r="A66" s="319" t="s">
        <v>349</v>
      </c>
      <c r="B66" s="328" t="s">
        <v>518</v>
      </c>
      <c r="C66" s="266">
        <f>'[10]HDND'!F65</f>
        <v>1147201770840</v>
      </c>
      <c r="D66" s="266">
        <f>'PL08-B03'!C47</f>
        <v>0</v>
      </c>
      <c r="E66" s="266">
        <f>'PL08-B03'!D47</f>
        <v>1040090000000</v>
      </c>
      <c r="F66" s="266">
        <f>'PL08-B03'!E47</f>
        <v>1243387149551</v>
      </c>
      <c r="G66" s="330"/>
      <c r="H66" s="331">
        <f t="shared" si="1"/>
        <v>119.54611135103693</v>
      </c>
      <c r="I66" s="331">
        <f t="shared" si="2"/>
        <v>108.3843471267109</v>
      </c>
    </row>
    <row r="67" spans="1:9" ht="18" customHeight="1">
      <c r="A67" s="319" t="s">
        <v>361</v>
      </c>
      <c r="B67" s="328" t="s">
        <v>519</v>
      </c>
      <c r="C67" s="266">
        <f>'[10]HDND'!F66</f>
        <v>136911698486</v>
      </c>
      <c r="D67" s="266">
        <f>'PL08-B03'!C27</f>
        <v>0</v>
      </c>
      <c r="E67" s="266">
        <f>'PL08-B03'!D27</f>
        <v>105508000000</v>
      </c>
      <c r="F67" s="266">
        <f>'PL08-B03'!E27</f>
        <v>145985158728</v>
      </c>
      <c r="G67" s="330"/>
      <c r="H67" s="331">
        <f t="shared" si="1"/>
        <v>138.36406597414415</v>
      </c>
      <c r="I67" s="331">
        <f t="shared" si="2"/>
        <v>106.62723517590997</v>
      </c>
    </row>
    <row r="68" spans="1:9" ht="18" customHeight="1">
      <c r="A68" s="319" t="s">
        <v>369</v>
      </c>
      <c r="B68" s="328" t="s">
        <v>520</v>
      </c>
      <c r="C68" s="266">
        <f>'[10]HDND'!F67</f>
        <v>70537691199</v>
      </c>
      <c r="D68" s="266">
        <f>'PL08-B03'!C53</f>
        <v>0</v>
      </c>
      <c r="E68" s="266">
        <f>'PL08-B03'!D53</f>
        <v>144320000000</v>
      </c>
      <c r="F68" s="266">
        <f>'PL08-B03'!E53</f>
        <v>124970101548</v>
      </c>
      <c r="G68" s="330"/>
      <c r="H68" s="331">
        <f t="shared" si="1"/>
        <v>86.59236526330378</v>
      </c>
      <c r="I68" s="331">
        <f t="shared" si="2"/>
        <v>177.1678366895168</v>
      </c>
    </row>
    <row r="69" spans="1:9" ht="18" customHeight="1">
      <c r="A69" s="319" t="s">
        <v>371</v>
      </c>
      <c r="B69" s="328" t="s">
        <v>521</v>
      </c>
      <c r="C69" s="266">
        <f>'[10]HDND'!F68</f>
        <v>92636757751</v>
      </c>
      <c r="D69" s="266">
        <f>'PL08-B03'!C52</f>
        <v>47690000000</v>
      </c>
      <c r="E69" s="266">
        <f>'PL08-B03'!D52</f>
        <v>66906000000</v>
      </c>
      <c r="F69" s="266">
        <f>'PL08-B03'!E52</f>
        <v>65663242683</v>
      </c>
      <c r="G69" s="330">
        <f>F69/D69*100</f>
        <v>137.68765502830783</v>
      </c>
      <c r="H69" s="331">
        <f>F69/E69*100</f>
        <v>98.14253233342302</v>
      </c>
      <c r="I69" s="331">
        <f aca="true" t="shared" si="4" ref="I69:I80">F69/C69*100</f>
        <v>70.88249230343035</v>
      </c>
    </row>
    <row r="70" spans="1:9" ht="18" customHeight="1">
      <c r="A70" s="320">
        <v>4</v>
      </c>
      <c r="B70" s="326" t="s">
        <v>522</v>
      </c>
      <c r="C70" s="321">
        <f>'[10]HDND'!F69</f>
        <v>0</v>
      </c>
      <c r="D70" s="321">
        <f>'PL08-B03'!C61</f>
        <v>95160000000</v>
      </c>
      <c r="E70" s="321">
        <f>'PL08-B03'!D61</f>
        <v>95160000000</v>
      </c>
      <c r="F70" s="321">
        <f>'PL08-B03'!E61</f>
        <v>0</v>
      </c>
      <c r="G70" s="330"/>
      <c r="H70" s="331"/>
      <c r="I70" s="331"/>
    </row>
    <row r="71" spans="1:9" ht="18" customHeight="1">
      <c r="A71" s="320">
        <v>5</v>
      </c>
      <c r="B71" s="326" t="s">
        <v>523</v>
      </c>
      <c r="C71" s="327">
        <f>'[10]HDND'!F70</f>
        <v>1000000000</v>
      </c>
      <c r="D71" s="327">
        <f>'PL08-B03'!C59</f>
        <v>1000000000</v>
      </c>
      <c r="E71" s="327">
        <f>'PL08-B03'!D59</f>
        <v>1000000000</v>
      </c>
      <c r="F71" s="327">
        <f>'PL08-B03'!E59</f>
        <v>1000000000</v>
      </c>
      <c r="G71" s="322">
        <f>F71/D71*100</f>
        <v>100</v>
      </c>
      <c r="H71" s="323">
        <f>F71/E71*100</f>
        <v>100</v>
      </c>
      <c r="I71" s="323">
        <f t="shared" si="4"/>
        <v>100</v>
      </c>
    </row>
    <row r="72" spans="1:9" ht="18" customHeight="1">
      <c r="A72" s="320">
        <v>6</v>
      </c>
      <c r="B72" s="326" t="s">
        <v>524</v>
      </c>
      <c r="C72" s="327">
        <f>'[10]HDND'!F71</f>
        <v>0</v>
      </c>
      <c r="D72" s="327">
        <f>'PL08-B03'!C60</f>
        <v>0</v>
      </c>
      <c r="E72" s="327">
        <f>'PL08-B03'!D60</f>
        <v>0</v>
      </c>
      <c r="F72" s="327"/>
      <c r="G72" s="330"/>
      <c r="H72" s="331"/>
      <c r="I72" s="331"/>
    </row>
    <row r="73" spans="1:10" ht="18" customHeight="1">
      <c r="A73" s="320">
        <v>7</v>
      </c>
      <c r="B73" s="350" t="s">
        <v>525</v>
      </c>
      <c r="C73" s="321">
        <f>'[10]HDND'!F72</f>
        <v>964375958905</v>
      </c>
      <c r="D73" s="321">
        <f>'PL08-B03'!C60</f>
        <v>0</v>
      </c>
      <c r="E73" s="321">
        <f>'PL08-B03'!D60</f>
        <v>0</v>
      </c>
      <c r="F73" s="321">
        <f>'PL08-B03'!E60</f>
        <v>1490927893816</v>
      </c>
      <c r="G73" s="330"/>
      <c r="H73" s="331"/>
      <c r="I73" s="323">
        <f t="shared" si="4"/>
        <v>154.60027596590783</v>
      </c>
      <c r="J73" s="199">
        <f>F73-C73</f>
        <v>526551934911</v>
      </c>
    </row>
    <row r="74" spans="1:9" s="341" customFormat="1" ht="30.75">
      <c r="A74" s="351" t="s">
        <v>111</v>
      </c>
      <c r="B74" s="352" t="s">
        <v>526</v>
      </c>
      <c r="C74" s="353">
        <f>'[10]HDND'!F73</f>
        <v>177914386579</v>
      </c>
      <c r="D74" s="353">
        <f>SUM(D75:D78)</f>
        <v>0</v>
      </c>
      <c r="E74" s="353">
        <f>'PL08-B03'!D64</f>
        <v>260000000000</v>
      </c>
      <c r="F74" s="353">
        <f>SUM(F75:F78)</f>
        <v>167710820340</v>
      </c>
      <c r="G74" s="330"/>
      <c r="H74" s="323">
        <f>F74/E74*100</f>
        <v>64.50416166923077</v>
      </c>
      <c r="I74" s="347">
        <f t="shared" si="4"/>
        <v>94.26490098119791</v>
      </c>
    </row>
    <row r="75" spans="1:9" ht="18.75" customHeight="1">
      <c r="A75" s="319">
        <v>1</v>
      </c>
      <c r="B75" s="328" t="s">
        <v>390</v>
      </c>
      <c r="C75" s="266">
        <f>'[10]HDND'!F74</f>
        <v>38727247845</v>
      </c>
      <c r="D75" s="266">
        <f>'PL08-B03'!C65</f>
        <v>0</v>
      </c>
      <c r="E75" s="266">
        <f>'PL08-B03'!D65</f>
        <v>0</v>
      </c>
      <c r="F75" s="266">
        <f>'PL08-B03'!E65</f>
        <v>42768856755</v>
      </c>
      <c r="G75" s="330"/>
      <c r="H75" s="331"/>
      <c r="I75" s="331">
        <f t="shared" si="4"/>
        <v>110.4360860502557</v>
      </c>
    </row>
    <row r="76" spans="1:9" ht="18.75" customHeight="1">
      <c r="A76" s="319">
        <v>2</v>
      </c>
      <c r="B76" s="328" t="s">
        <v>393</v>
      </c>
      <c r="C76" s="266">
        <f>'[10]HDND'!F75</f>
        <v>3023742451</v>
      </c>
      <c r="D76" s="266">
        <f>'PL08-B03'!C67</f>
        <v>0</v>
      </c>
      <c r="E76" s="266">
        <f>'PL08-B03'!D67</f>
        <v>0</v>
      </c>
      <c r="F76" s="266">
        <f>'PL08-B03'!E67</f>
        <v>4997385950</v>
      </c>
      <c r="G76" s="330"/>
      <c r="H76" s="331"/>
      <c r="I76" s="331">
        <f t="shared" si="4"/>
        <v>165.2715477916211</v>
      </c>
    </row>
    <row r="77" spans="1:9" ht="18.75" customHeight="1">
      <c r="A77" s="319">
        <v>3</v>
      </c>
      <c r="B77" s="328" t="s">
        <v>391</v>
      </c>
      <c r="C77" s="266">
        <f>'[10]HDND'!F76</f>
        <v>111730756996</v>
      </c>
      <c r="D77" s="266">
        <f>'PL08-B03'!C66</f>
        <v>0</v>
      </c>
      <c r="E77" s="266">
        <f>'PL08-B03'!D66</f>
        <v>0</v>
      </c>
      <c r="F77" s="266">
        <f>'PL08-B03'!E66</f>
        <v>88255976871</v>
      </c>
      <c r="G77" s="330"/>
      <c r="H77" s="331"/>
      <c r="I77" s="331">
        <f t="shared" si="4"/>
        <v>78.98986746698547</v>
      </c>
    </row>
    <row r="78" spans="1:9" ht="18.75" customHeight="1">
      <c r="A78" s="319">
        <v>4</v>
      </c>
      <c r="B78" s="328" t="s">
        <v>545</v>
      </c>
      <c r="C78" s="266">
        <f>'[10]HDND'!F77</f>
        <v>24432639287</v>
      </c>
      <c r="D78" s="266">
        <f>'PL08-B03'!C68</f>
        <v>0</v>
      </c>
      <c r="E78" s="266">
        <f>'PL08-B03'!D68</f>
        <v>0</v>
      </c>
      <c r="F78" s="266">
        <f>'PL08-B03'!E68</f>
        <v>31688600764</v>
      </c>
      <c r="G78" s="330"/>
      <c r="H78" s="331"/>
      <c r="I78" s="331">
        <f t="shared" si="4"/>
        <v>129.69782098351</v>
      </c>
    </row>
    <row r="79" spans="1:9" ht="18" customHeight="1">
      <c r="A79" s="320" t="s">
        <v>117</v>
      </c>
      <c r="B79" s="326" t="s">
        <v>546</v>
      </c>
      <c r="C79" s="321">
        <f>'[10]HDND'!F78</f>
        <v>0</v>
      </c>
      <c r="D79" s="321">
        <f>'PL08-B03'!C63</f>
        <v>0</v>
      </c>
      <c r="E79" s="321">
        <f>'PL08-B03'!D63</f>
        <v>80000000000</v>
      </c>
      <c r="F79" s="321">
        <f>'PL08-B03'!E63</f>
        <v>0</v>
      </c>
      <c r="G79" s="330"/>
      <c r="H79" s="331">
        <f>F79/E79*100</f>
        <v>0</v>
      </c>
      <c r="I79" s="331"/>
    </row>
    <row r="80" spans="1:9" ht="18" customHeight="1">
      <c r="A80" s="354" t="s">
        <v>119</v>
      </c>
      <c r="B80" s="355" t="s">
        <v>301</v>
      </c>
      <c r="C80" s="356">
        <f>'[10]HDND'!F79</f>
        <v>39312719166</v>
      </c>
      <c r="D80" s="356">
        <f>'PL08-B03'!C74</f>
        <v>0</v>
      </c>
      <c r="E80" s="356">
        <f>'PL08-B03'!D74</f>
        <v>0</v>
      </c>
      <c r="F80" s="356">
        <f>'PL08-B03'!E74</f>
        <v>55464540634</v>
      </c>
      <c r="G80" s="357"/>
      <c r="H80" s="358"/>
      <c r="I80" s="784">
        <f t="shared" si="4"/>
        <v>141.08548533566986</v>
      </c>
    </row>
    <row r="95" ht="15">
      <c r="B95" s="199"/>
    </row>
    <row r="96" ht="15">
      <c r="B96" s="199"/>
    </row>
    <row r="97" ht="15">
      <c r="B97" s="199"/>
    </row>
    <row r="98" ht="15">
      <c r="B98" s="199"/>
    </row>
    <row r="99" ht="15">
      <c r="B99" s="199"/>
    </row>
    <row r="100" ht="15">
      <c r="B100" s="199"/>
    </row>
    <row r="101" ht="15">
      <c r="B101" s="199"/>
    </row>
    <row r="102" ht="15">
      <c r="B102" s="199"/>
    </row>
    <row r="103" ht="15">
      <c r="B103" s="199"/>
    </row>
  </sheetData>
  <sheetProtection/>
  <mergeCells count="11">
    <mergeCell ref="C7:C8"/>
    <mergeCell ref="D7:E7"/>
    <mergeCell ref="F7:F8"/>
    <mergeCell ref="A1:B1"/>
    <mergeCell ref="A2:I2"/>
    <mergeCell ref="A3:I3"/>
    <mergeCell ref="A4:I4"/>
    <mergeCell ref="A5:I5"/>
    <mergeCell ref="G6:I6"/>
    <mergeCell ref="A7:A8"/>
    <mergeCell ref="B7:B8"/>
  </mergeCells>
  <printOptions/>
  <pageMargins left="0.2" right="0.2" top="0.48" bottom="0.33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zoomScale="120" zoomScaleNormal="120" zoomScalePageLayoutView="0" workbookViewId="0" topLeftCell="A1">
      <pane xSplit="1" ySplit="9" topLeftCell="C4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48" sqref="K48"/>
    </sheetView>
  </sheetViews>
  <sheetFormatPr defaultColWidth="10.421875" defaultRowHeight="12.75"/>
  <cols>
    <col min="1" max="1" width="24.421875" style="3" customWidth="1"/>
    <col min="2" max="2" width="12.8515625" style="3" customWidth="1"/>
    <col min="3" max="3" width="12.28125" style="3" customWidth="1"/>
    <col min="4" max="4" width="11.28125" style="3" customWidth="1"/>
    <col min="5" max="5" width="12.00390625" style="3" customWidth="1"/>
    <col min="6" max="6" width="13.00390625" style="3" customWidth="1"/>
    <col min="7" max="7" width="12.8515625" style="3" customWidth="1"/>
    <col min="8" max="8" width="11.8515625" style="3" customWidth="1"/>
    <col min="9" max="9" width="11.00390625" style="3" customWidth="1"/>
    <col min="10" max="10" width="11.7109375" style="3" customWidth="1"/>
    <col min="11" max="11" width="12.8515625" style="3" customWidth="1"/>
    <col min="12" max="12" width="4.7109375" style="3" customWidth="1"/>
    <col min="13" max="13" width="4.140625" style="3" customWidth="1"/>
    <col min="14" max="14" width="4.28125" style="3" customWidth="1"/>
    <col min="15" max="15" width="4.140625" style="3" customWidth="1"/>
    <col min="16" max="16" width="3.8515625" style="3" customWidth="1"/>
    <col min="17" max="17" width="14.421875" style="3" bestFit="1" customWidth="1"/>
    <col min="18" max="16384" width="10.421875" style="3" customWidth="1"/>
  </cols>
  <sheetData>
    <row r="1" spans="1:16" ht="15" customHeight="1">
      <c r="A1" s="795" t="s">
        <v>633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</row>
    <row r="2" spans="1:16" ht="16.5">
      <c r="A2" s="796" t="s">
        <v>632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</row>
    <row r="3" spans="2:7" ht="13.5">
      <c r="B3" s="4"/>
      <c r="C3" s="4"/>
      <c r="D3" s="4"/>
      <c r="E3" s="4"/>
      <c r="F3" s="4"/>
      <c r="G3" s="4"/>
    </row>
    <row r="4" spans="1:16" ht="20.25">
      <c r="A4" s="794" t="s">
        <v>703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</row>
    <row r="5" spans="1:16" ht="14.25" customHeight="1">
      <c r="A5" s="24"/>
      <c r="B5" s="4"/>
      <c r="C5" s="4"/>
      <c r="D5" s="5"/>
      <c r="E5" s="797" t="s">
        <v>143</v>
      </c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</row>
    <row r="6" spans="1:16" s="7" customFormat="1" ht="12">
      <c r="A6" s="787" t="s">
        <v>0</v>
      </c>
      <c r="B6" s="789" t="s">
        <v>704</v>
      </c>
      <c r="C6" s="790"/>
      <c r="D6" s="790"/>
      <c r="E6" s="790"/>
      <c r="F6" s="791"/>
      <c r="G6" s="6" t="s">
        <v>705</v>
      </c>
      <c r="H6" s="6"/>
      <c r="I6" s="6"/>
      <c r="J6" s="6"/>
      <c r="K6" s="6"/>
      <c r="L6" s="6" t="s">
        <v>144</v>
      </c>
      <c r="M6" s="6"/>
      <c r="N6" s="6"/>
      <c r="O6" s="6"/>
      <c r="P6" s="6"/>
    </row>
    <row r="7" spans="1:16" s="7" customFormat="1" ht="33.75" customHeight="1">
      <c r="A7" s="787"/>
      <c r="B7" s="787" t="s">
        <v>145</v>
      </c>
      <c r="C7" s="787" t="s">
        <v>146</v>
      </c>
      <c r="D7" s="787" t="s">
        <v>147</v>
      </c>
      <c r="E7" s="787" t="s">
        <v>148</v>
      </c>
      <c r="F7" s="787" t="s">
        <v>149</v>
      </c>
      <c r="G7" s="787" t="s">
        <v>145</v>
      </c>
      <c r="H7" s="787" t="s">
        <v>146</v>
      </c>
      <c r="I7" s="787" t="s">
        <v>147</v>
      </c>
      <c r="J7" s="787" t="s">
        <v>148</v>
      </c>
      <c r="K7" s="787" t="s">
        <v>149</v>
      </c>
      <c r="L7" s="787" t="s">
        <v>145</v>
      </c>
      <c r="M7" s="787" t="s">
        <v>146</v>
      </c>
      <c r="N7" s="787" t="s">
        <v>147</v>
      </c>
      <c r="O7" s="787" t="s">
        <v>148</v>
      </c>
      <c r="P7" s="787" t="s">
        <v>149</v>
      </c>
    </row>
    <row r="8" spans="1:16" s="7" customFormat="1" ht="37.5" customHeight="1">
      <c r="A8" s="787"/>
      <c r="B8" s="787"/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  <c r="O8" s="787"/>
      <c r="P8" s="787"/>
    </row>
    <row r="9" spans="1:16" s="7" customFormat="1" ht="12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</row>
    <row r="10" spans="1:19" s="11" customFormat="1" ht="12">
      <c r="A10" s="493" t="s">
        <v>150</v>
      </c>
      <c r="B10" s="9">
        <f>B11+B30+B36+B47+B48+B49</f>
        <v>2580000000000</v>
      </c>
      <c r="C10" s="9">
        <f>C11+C30+C36+C47+C48+C49</f>
        <v>717000000000</v>
      </c>
      <c r="D10" s="9">
        <f>D11+D30+D36+D47+D48+D49</f>
        <v>5000000000</v>
      </c>
      <c r="E10" s="9">
        <f>E11+E30+E36+E47+E48+E49</f>
        <v>563500000000</v>
      </c>
      <c r="F10" s="9">
        <f>F11+F30+F36+F47+F48+F49</f>
        <v>1294500000000</v>
      </c>
      <c r="G10" s="9">
        <f>K10+J10+I10+H10</f>
        <v>4197402795375</v>
      </c>
      <c r="H10" s="9">
        <f>H11+H30+H36+H47+H48+H49</f>
        <v>503161044241</v>
      </c>
      <c r="I10" s="9">
        <f>I11+I30+I36+I47+I48+I49</f>
        <v>8557610056</v>
      </c>
      <c r="J10" s="9">
        <f>J11+J30+J36+J47+J48+J49</f>
        <v>491878028953</v>
      </c>
      <c r="K10" s="9">
        <f>K11+K30+K36+K47+K48+K49+K50</f>
        <v>3193806112125</v>
      </c>
      <c r="L10" s="9">
        <f aca="true" t="shared" si="0" ref="L10:P15">G10/B10*100</f>
        <v>162.69003082848837</v>
      </c>
      <c r="M10" s="9">
        <f t="shared" si="0"/>
        <v>70.17587785788005</v>
      </c>
      <c r="N10" s="9">
        <f t="shared" si="0"/>
        <v>171.15220112</v>
      </c>
      <c r="O10" s="9">
        <f t="shared" si="0"/>
        <v>87.289801056433</v>
      </c>
      <c r="P10" s="9">
        <f t="shared" si="0"/>
        <v>246.72121376013908</v>
      </c>
      <c r="Q10" s="10"/>
      <c r="R10" s="10"/>
      <c r="S10" s="10"/>
    </row>
    <row r="11" spans="1:19" s="11" customFormat="1" ht="12">
      <c r="A11" s="494" t="s">
        <v>151</v>
      </c>
      <c r="B11" s="12">
        <f>B12+B15+B16+B17+B18+B19+B20+B21+B22+B23+B24+B25+B26+B27+B28+B29</f>
        <v>1368220000000</v>
      </c>
      <c r="C11" s="12">
        <f>C12+C15+C16+C17+C18+C19+C20+C21+C22+C23+C24+C25+C26+C27</f>
        <v>689220000000</v>
      </c>
      <c r="D11" s="12">
        <f>D12+D15+D16+D17+D18+D19+D20+D21+D22+D23+D24+D25+D26+D27</f>
        <v>5000000000</v>
      </c>
      <c r="E11" s="12">
        <f>E12+E15+E16+E17+E18+E19+E20+E21+E22+E23+E24+E25+E26+E27</f>
        <v>549500000000</v>
      </c>
      <c r="F11" s="12">
        <f>F12+F15+F16+F17+F18+F19+F20+F21+F22+F23+F24+F25+F26+F27+F28+F29</f>
        <v>124500000000</v>
      </c>
      <c r="G11" s="12">
        <f>G12+SUM(G15:G29)</f>
        <v>1253211005685</v>
      </c>
      <c r="H11" s="12">
        <f>H12+SUM(H15:H29)</f>
        <v>463932980018</v>
      </c>
      <c r="I11" s="12">
        <f>I12+SUM(I15:I29)</f>
        <v>8257311270</v>
      </c>
      <c r="J11" s="12">
        <f>J12+SUM(J15:J29)</f>
        <v>479052666745</v>
      </c>
      <c r="K11" s="12">
        <f>K12+SUM(K15:K29)</f>
        <v>301968047652</v>
      </c>
      <c r="L11" s="12">
        <f t="shared" si="0"/>
        <v>91.59426157233486</v>
      </c>
      <c r="M11" s="12">
        <f t="shared" si="0"/>
        <v>67.31275645193116</v>
      </c>
      <c r="N11" s="12">
        <f t="shared" si="0"/>
        <v>165.1462254</v>
      </c>
      <c r="O11" s="12">
        <f t="shared" si="0"/>
        <v>87.17973917106461</v>
      </c>
      <c r="P11" s="12">
        <f t="shared" si="0"/>
        <v>242.54461658795182</v>
      </c>
      <c r="Q11" s="10"/>
      <c r="R11" s="10"/>
      <c r="S11" s="10"/>
    </row>
    <row r="12" spans="1:19" s="11" customFormat="1" ht="12">
      <c r="A12" s="495" t="s">
        <v>152</v>
      </c>
      <c r="B12" s="496">
        <f>B13+B14</f>
        <v>1039690000000</v>
      </c>
      <c r="C12" s="496">
        <f aca="true" t="shared" si="1" ref="C12:K12">C13+C14</f>
        <v>568200000000</v>
      </c>
      <c r="D12" s="496">
        <f t="shared" si="1"/>
        <v>1990000000</v>
      </c>
      <c r="E12" s="496">
        <f t="shared" si="1"/>
        <v>469500000000</v>
      </c>
      <c r="F12" s="496"/>
      <c r="G12" s="496">
        <f t="shared" si="1"/>
        <v>704451337327</v>
      </c>
      <c r="H12" s="496">
        <f t="shared" si="1"/>
        <v>300610723267</v>
      </c>
      <c r="I12" s="496">
        <f t="shared" si="1"/>
        <v>4392788968</v>
      </c>
      <c r="J12" s="496">
        <f t="shared" si="1"/>
        <v>399447825092</v>
      </c>
      <c r="K12" s="496">
        <f t="shared" si="1"/>
        <v>0</v>
      </c>
      <c r="L12" s="496">
        <f t="shared" si="0"/>
        <v>67.75590198299493</v>
      </c>
      <c r="M12" s="496">
        <f t="shared" si="0"/>
        <v>52.90579430957409</v>
      </c>
      <c r="N12" s="496">
        <f t="shared" si="0"/>
        <v>220.7431642211055</v>
      </c>
      <c r="O12" s="496">
        <f t="shared" si="0"/>
        <v>85.07940896528221</v>
      </c>
      <c r="P12" s="12"/>
      <c r="Q12" s="10"/>
      <c r="R12" s="10"/>
      <c r="S12" s="10"/>
    </row>
    <row r="13" spans="1:19" s="11" customFormat="1" ht="24">
      <c r="A13" s="497" t="s">
        <v>153</v>
      </c>
      <c r="B13" s="496">
        <f>C13+D13+E13+F13</f>
        <v>649690000000</v>
      </c>
      <c r="C13" s="498">
        <f>PL08_B02!D18+PL08_B02!D26</f>
        <v>178200000000</v>
      </c>
      <c r="D13" s="498">
        <f>PL08_B02!D34</f>
        <v>1990000000</v>
      </c>
      <c r="E13" s="498">
        <f>PL08_B02!D43+PL08_B02!D50</f>
        <v>469500000000</v>
      </c>
      <c r="F13" s="498"/>
      <c r="G13" s="498">
        <f>H13+I13+J13+K13</f>
        <v>559835351978</v>
      </c>
      <c r="H13" s="498">
        <f>PL08_B02!E18+PL08_B02!E26</f>
        <v>155994737918</v>
      </c>
      <c r="I13" s="498">
        <f>PL08_B02!E34</f>
        <v>4392788968</v>
      </c>
      <c r="J13" s="498">
        <f>PL08_B02!E43+PL08_B02!E50</f>
        <v>399447825092</v>
      </c>
      <c r="K13" s="498"/>
      <c r="L13" s="496">
        <f t="shared" si="0"/>
        <v>86.16961196539889</v>
      </c>
      <c r="M13" s="496">
        <f t="shared" si="0"/>
        <v>87.53913463411897</v>
      </c>
      <c r="N13" s="496">
        <f t="shared" si="0"/>
        <v>220.7431642211055</v>
      </c>
      <c r="O13" s="496">
        <f t="shared" si="0"/>
        <v>85.07940896528221</v>
      </c>
      <c r="P13" s="12"/>
      <c r="Q13" s="10"/>
      <c r="R13" s="10"/>
      <c r="S13" s="10"/>
    </row>
    <row r="14" spans="1:19" s="11" customFormat="1" ht="12">
      <c r="A14" s="499" t="s">
        <v>154</v>
      </c>
      <c r="B14" s="496">
        <f aca="true" t="shared" si="2" ref="B14:B26">C14+D14+E14+F14</f>
        <v>390000000000</v>
      </c>
      <c r="C14" s="498">
        <f>PL08_B02!D97</f>
        <v>390000000000</v>
      </c>
      <c r="D14" s="500"/>
      <c r="E14" s="500"/>
      <c r="F14" s="500"/>
      <c r="G14" s="498">
        <f>H14+I14+J14+K14</f>
        <v>144615985349</v>
      </c>
      <c r="H14" s="498">
        <f>PL08_B02!E97</f>
        <v>144615985349</v>
      </c>
      <c r="I14" s="500"/>
      <c r="J14" s="500"/>
      <c r="K14" s="500"/>
      <c r="L14" s="496">
        <f t="shared" si="0"/>
        <v>37.081021884358975</v>
      </c>
      <c r="M14" s="496">
        <f t="shared" si="0"/>
        <v>37.081021884358975</v>
      </c>
      <c r="N14" s="496"/>
      <c r="O14" s="496"/>
      <c r="P14" s="12"/>
      <c r="Q14" s="10"/>
      <c r="R14" s="10"/>
      <c r="S14" s="10"/>
    </row>
    <row r="15" spans="1:19" s="11" customFormat="1" ht="24">
      <c r="A15" s="501" t="s">
        <v>155</v>
      </c>
      <c r="B15" s="496">
        <f t="shared" si="2"/>
        <v>84700000000</v>
      </c>
      <c r="C15" s="498">
        <f>PL08_B02!D19+PL08_B02!D27</f>
        <v>84000000000</v>
      </c>
      <c r="D15" s="498">
        <f>PL08_B02!D35</f>
        <v>0</v>
      </c>
      <c r="E15" s="498">
        <f>PL08_B02!D44+PL08_B02!D51</f>
        <v>700000000</v>
      </c>
      <c r="F15" s="498"/>
      <c r="G15" s="498">
        <f>H15+I15+J15+K15</f>
        <v>85362615264</v>
      </c>
      <c r="H15" s="498">
        <f>PL08_B02!E19+PL08_B02!E27</f>
        <v>84687610567</v>
      </c>
      <c r="I15" s="498">
        <f>'[5]PL08_B02'!E35</f>
        <v>0</v>
      </c>
      <c r="J15" s="498">
        <f>PL08_B02!E51+PL08_B02!E44</f>
        <v>675004697</v>
      </c>
      <c r="K15" s="498"/>
      <c r="L15" s="496">
        <f t="shared" si="0"/>
        <v>100.78230845808737</v>
      </c>
      <c r="M15" s="496">
        <f t="shared" si="0"/>
        <v>100.81858400833332</v>
      </c>
      <c r="N15" s="496"/>
      <c r="O15" s="496">
        <f>J15/E15*100</f>
        <v>96.42924242857143</v>
      </c>
      <c r="P15" s="12"/>
      <c r="Q15" s="10"/>
      <c r="R15" s="10"/>
      <c r="S15" s="10"/>
    </row>
    <row r="16" spans="1:19" s="11" customFormat="1" ht="12">
      <c r="A16" s="499" t="s">
        <v>156</v>
      </c>
      <c r="B16" s="496">
        <f t="shared" si="2"/>
        <v>0</v>
      </c>
      <c r="C16" s="498">
        <f>PL08_B02!D94</f>
        <v>0</v>
      </c>
      <c r="D16" s="500"/>
      <c r="E16" s="500"/>
      <c r="F16" s="500"/>
      <c r="G16" s="498">
        <f>H16+I16+J16+K16</f>
        <v>15008066251</v>
      </c>
      <c r="H16" s="498">
        <f>PL08_B02!E94</f>
        <v>15008066251</v>
      </c>
      <c r="I16" s="500"/>
      <c r="J16" s="500"/>
      <c r="K16" s="500"/>
      <c r="L16" s="496"/>
      <c r="M16" s="496"/>
      <c r="N16" s="496"/>
      <c r="O16" s="496"/>
      <c r="P16" s="12"/>
      <c r="Q16" s="10"/>
      <c r="R16" s="10"/>
      <c r="S16" s="10"/>
    </row>
    <row r="17" spans="1:19" s="11" customFormat="1" ht="12">
      <c r="A17" s="499" t="s">
        <v>157</v>
      </c>
      <c r="B17" s="496">
        <f t="shared" si="2"/>
        <v>0</v>
      </c>
      <c r="C17" s="498">
        <f>PL08_B02!D95</f>
        <v>0</v>
      </c>
      <c r="D17" s="498"/>
      <c r="E17" s="498"/>
      <c r="F17" s="498"/>
      <c r="G17" s="498">
        <f aca="true" t="shared" si="3" ref="G17:G29">H17+I17+J17+K17</f>
        <v>29579020603</v>
      </c>
      <c r="H17" s="498">
        <f>PL08_B02!E95</f>
        <v>29579020603</v>
      </c>
      <c r="I17" s="498"/>
      <c r="J17" s="498"/>
      <c r="K17" s="498"/>
      <c r="L17" s="496"/>
      <c r="M17" s="496"/>
      <c r="N17" s="496"/>
      <c r="O17" s="496"/>
      <c r="P17" s="12"/>
      <c r="Q17" s="10"/>
      <c r="R17" s="10"/>
      <c r="S17" s="10"/>
    </row>
    <row r="18" spans="1:19" s="11" customFormat="1" ht="12">
      <c r="A18" s="499" t="s">
        <v>158</v>
      </c>
      <c r="B18" s="496">
        <f t="shared" si="2"/>
        <v>0</v>
      </c>
      <c r="C18" s="498">
        <f>PL08_B02!D96</f>
        <v>0</v>
      </c>
      <c r="D18" s="502"/>
      <c r="E18" s="502"/>
      <c r="F18" s="502"/>
      <c r="G18" s="498">
        <f t="shared" si="3"/>
        <v>0</v>
      </c>
      <c r="H18" s="498">
        <f>PL08_B02!E96</f>
        <v>0</v>
      </c>
      <c r="I18" s="502"/>
      <c r="J18" s="502"/>
      <c r="K18" s="502"/>
      <c r="L18" s="496"/>
      <c r="M18" s="496"/>
      <c r="N18" s="496"/>
      <c r="O18" s="496"/>
      <c r="P18" s="12"/>
      <c r="Q18" s="10"/>
      <c r="R18" s="10"/>
      <c r="S18" s="10"/>
    </row>
    <row r="19" spans="1:19" s="11" customFormat="1" ht="12">
      <c r="A19" s="497" t="s">
        <v>634</v>
      </c>
      <c r="B19" s="496">
        <f>C19+D19+E19+F19</f>
        <v>0</v>
      </c>
      <c r="C19" s="498">
        <f>PL08_B02!D21</f>
        <v>0</v>
      </c>
      <c r="D19" s="498"/>
      <c r="E19" s="498"/>
      <c r="F19" s="498"/>
      <c r="G19" s="498">
        <f t="shared" si="3"/>
        <v>0</v>
      </c>
      <c r="H19" s="498">
        <f>PL08_B02!E21</f>
        <v>0</v>
      </c>
      <c r="I19" s="498"/>
      <c r="J19" s="498"/>
      <c r="K19" s="498"/>
      <c r="L19" s="496"/>
      <c r="M19" s="496"/>
      <c r="N19" s="496"/>
      <c r="O19" s="496"/>
      <c r="P19" s="12"/>
      <c r="Q19" s="10"/>
      <c r="R19" s="10"/>
      <c r="S19" s="10"/>
    </row>
    <row r="20" spans="1:19" s="11" customFormat="1" ht="12">
      <c r="A20" s="495" t="s">
        <v>159</v>
      </c>
      <c r="B20" s="496">
        <f t="shared" si="2"/>
        <v>59300000000</v>
      </c>
      <c r="C20" s="498">
        <f>PL08_B02!D20+PL08_B02!D28</f>
        <v>18300000000</v>
      </c>
      <c r="D20" s="498">
        <f>PL08_B02!D36</f>
        <v>3000000000</v>
      </c>
      <c r="E20" s="498">
        <f>PL08_B02!D45+PL08_B02!D52</f>
        <v>38000000000</v>
      </c>
      <c r="F20" s="498"/>
      <c r="G20" s="498">
        <f t="shared" si="3"/>
        <v>62971620158</v>
      </c>
      <c r="H20" s="498">
        <f>PL08_B02!E20+PL08_B02!E28</f>
        <v>16239861937</v>
      </c>
      <c r="I20" s="498">
        <f>PL08_B02!E36</f>
        <v>3735022302</v>
      </c>
      <c r="J20" s="498">
        <f>PL08_B02!E45+PL08_B02!E52</f>
        <v>42996735919</v>
      </c>
      <c r="K20" s="498"/>
      <c r="L20" s="496">
        <f aca="true" t="shared" si="4" ref="L20:L35">G20/B20*100</f>
        <v>106.19160229005058</v>
      </c>
      <c r="M20" s="496">
        <f>H20/C20*100</f>
        <v>88.74241495628415</v>
      </c>
      <c r="N20" s="496"/>
      <c r="O20" s="496">
        <f>J20/E20*100</f>
        <v>113.14930505000001</v>
      </c>
      <c r="P20" s="12"/>
      <c r="Q20" s="10"/>
      <c r="R20" s="10"/>
      <c r="S20" s="10"/>
    </row>
    <row r="21" spans="1:19" s="11" customFormat="1" ht="24">
      <c r="A21" s="497" t="s">
        <v>160</v>
      </c>
      <c r="B21" s="496">
        <f t="shared" si="2"/>
        <v>0</v>
      </c>
      <c r="C21" s="498"/>
      <c r="D21" s="498"/>
      <c r="E21" s="498"/>
      <c r="F21" s="498"/>
      <c r="G21" s="498">
        <f t="shared" si="3"/>
        <v>0</v>
      </c>
      <c r="H21" s="498"/>
      <c r="I21" s="498"/>
      <c r="J21" s="498"/>
      <c r="K21" s="498"/>
      <c r="L21" s="496"/>
      <c r="M21" s="496"/>
      <c r="N21" s="496"/>
      <c r="O21" s="496"/>
      <c r="P21" s="12"/>
      <c r="Q21" s="10"/>
      <c r="R21" s="10"/>
      <c r="S21" s="10"/>
    </row>
    <row r="22" spans="1:19" s="11" customFormat="1" ht="12">
      <c r="A22" s="495" t="s">
        <v>161</v>
      </c>
      <c r="B22" s="496">
        <f t="shared" si="2"/>
        <v>48200000000</v>
      </c>
      <c r="C22" s="498">
        <f>PL08_B02!D22+PL08_B02!D29</f>
        <v>18200000000</v>
      </c>
      <c r="D22" s="498"/>
      <c r="E22" s="498">
        <f>PL08_B02!D46+PL08_B02!D53</f>
        <v>30000000000</v>
      </c>
      <c r="F22" s="498"/>
      <c r="G22" s="498">
        <f t="shared" si="3"/>
        <v>42616018152</v>
      </c>
      <c r="H22" s="498">
        <f>PL08_B02!E22+PL08_B02!E29</f>
        <v>17424343036</v>
      </c>
      <c r="I22" s="498">
        <f>PL08_B02!E37</f>
        <v>110000000</v>
      </c>
      <c r="J22" s="498">
        <f>PL08_B02!E46+PL08_B02!E53</f>
        <v>25081675116</v>
      </c>
      <c r="K22" s="498"/>
      <c r="L22" s="496">
        <f t="shared" si="4"/>
        <v>88.41497541908714</v>
      </c>
      <c r="M22" s="496">
        <f>H22/C22*100</f>
        <v>95.73814854945056</v>
      </c>
      <c r="N22" s="496"/>
      <c r="O22" s="496">
        <f>J22/E22*100</f>
        <v>83.60558372</v>
      </c>
      <c r="P22" s="12"/>
      <c r="Q22" s="10"/>
      <c r="R22" s="10"/>
      <c r="S22" s="10"/>
    </row>
    <row r="23" spans="1:19" s="11" customFormat="1" ht="24">
      <c r="A23" s="497" t="s">
        <v>162</v>
      </c>
      <c r="B23" s="496">
        <f t="shared" si="2"/>
        <v>46000000000</v>
      </c>
      <c r="C23" s="498"/>
      <c r="D23" s="498"/>
      <c r="E23" s="498"/>
      <c r="F23" s="498">
        <f>PL08_B02!D56</f>
        <v>46000000000</v>
      </c>
      <c r="G23" s="498">
        <f t="shared" si="3"/>
        <v>53141017799</v>
      </c>
      <c r="H23" s="498"/>
      <c r="I23" s="498"/>
      <c r="J23" s="498"/>
      <c r="K23" s="498">
        <f>PL08_B02!E56</f>
        <v>53141017799</v>
      </c>
      <c r="L23" s="496">
        <f t="shared" si="4"/>
        <v>115.52395173695653</v>
      </c>
      <c r="M23" s="496"/>
      <c r="N23" s="496"/>
      <c r="O23" s="496"/>
      <c r="P23" s="496">
        <f aca="true" t="shared" si="5" ref="P23:P51">K23/F23*100</f>
        <v>115.52395173695653</v>
      </c>
      <c r="Q23" s="10"/>
      <c r="R23" s="10"/>
      <c r="S23" s="10"/>
    </row>
    <row r="24" spans="1:19" s="11" customFormat="1" ht="12">
      <c r="A24" s="495" t="s">
        <v>163</v>
      </c>
      <c r="B24" s="496">
        <f t="shared" si="2"/>
        <v>0</v>
      </c>
      <c r="C24" s="498"/>
      <c r="D24" s="498"/>
      <c r="E24" s="498"/>
      <c r="F24" s="498">
        <f>'[5]PL08_B02'!D56</f>
        <v>0</v>
      </c>
      <c r="G24" s="498">
        <f t="shared" si="3"/>
        <v>0</v>
      </c>
      <c r="H24" s="498"/>
      <c r="I24" s="498"/>
      <c r="J24" s="498"/>
      <c r="K24" s="498">
        <v>0</v>
      </c>
      <c r="L24" s="496"/>
      <c r="M24" s="496"/>
      <c r="N24" s="496"/>
      <c r="O24" s="496"/>
      <c r="P24" s="496"/>
      <c r="Q24" s="10"/>
      <c r="R24" s="10"/>
      <c r="S24" s="10"/>
    </row>
    <row r="25" spans="1:19" s="11" customFormat="1" ht="12">
      <c r="A25" s="495" t="s">
        <v>164</v>
      </c>
      <c r="B25" s="496">
        <f t="shared" si="2"/>
        <v>0</v>
      </c>
      <c r="C25" s="498"/>
      <c r="D25" s="498"/>
      <c r="E25" s="498"/>
      <c r="F25" s="498">
        <f>'[5]PL08_B02'!D66</f>
        <v>0</v>
      </c>
      <c r="G25" s="498">
        <f t="shared" si="3"/>
        <v>0</v>
      </c>
      <c r="H25" s="498"/>
      <c r="I25" s="498"/>
      <c r="J25" s="498"/>
      <c r="K25" s="498">
        <f>PL08_B02!H72+PL08_B02!I72</f>
        <v>0</v>
      </c>
      <c r="L25" s="496"/>
      <c r="M25" s="496"/>
      <c r="N25" s="496"/>
      <c r="O25" s="496"/>
      <c r="P25" s="496"/>
      <c r="Q25" s="10"/>
      <c r="R25" s="10"/>
      <c r="S25" s="10"/>
    </row>
    <row r="26" spans="1:19" s="11" customFormat="1" ht="12">
      <c r="A26" s="497" t="s">
        <v>165</v>
      </c>
      <c r="B26" s="496">
        <f t="shared" si="2"/>
        <v>0</v>
      </c>
      <c r="C26" s="498"/>
      <c r="D26" s="498"/>
      <c r="E26" s="498"/>
      <c r="F26" s="498">
        <f>'[5]PL08_B02'!D67</f>
        <v>0</v>
      </c>
      <c r="G26" s="498">
        <f t="shared" si="3"/>
        <v>0</v>
      </c>
      <c r="H26" s="498"/>
      <c r="I26" s="498"/>
      <c r="J26" s="498"/>
      <c r="K26" s="498">
        <f>'[5]PL08_B02'!E67</f>
        <v>0</v>
      </c>
      <c r="L26" s="496"/>
      <c r="M26" s="496"/>
      <c r="N26" s="496"/>
      <c r="O26" s="496"/>
      <c r="P26" s="496"/>
      <c r="Q26" s="10"/>
      <c r="R26" s="10"/>
      <c r="S26" s="10"/>
    </row>
    <row r="27" spans="1:19" s="11" customFormat="1" ht="12">
      <c r="A27" s="495" t="s">
        <v>166</v>
      </c>
      <c r="B27" s="496">
        <f>C27+D27+E27+F27</f>
        <v>11830000000</v>
      </c>
      <c r="C27" s="498">
        <f>PL08_B02!D23+PL08_B02!D30</f>
        <v>520000000</v>
      </c>
      <c r="D27" s="498">
        <f>PL08_B02!D38</f>
        <v>10000000</v>
      </c>
      <c r="E27" s="498">
        <f>PL08_B02!D47+PL08_B02!D54</f>
        <v>11300000000</v>
      </c>
      <c r="F27" s="498"/>
      <c r="G27" s="498">
        <f t="shared" si="3"/>
        <v>11254280278</v>
      </c>
      <c r="H27" s="498">
        <f>PL08_B02!E23+PL08_B02!E30</f>
        <v>383354357</v>
      </c>
      <c r="I27" s="498">
        <f>PL08_B02!E38</f>
        <v>19500000</v>
      </c>
      <c r="J27" s="498">
        <f>PL08_B02!E54+PL08_B02!E47</f>
        <v>10851425921</v>
      </c>
      <c r="K27" s="498"/>
      <c r="L27" s="496">
        <f t="shared" si="4"/>
        <v>95.13339203719357</v>
      </c>
      <c r="M27" s="496">
        <f>H27/C27*100</f>
        <v>73.72199173076923</v>
      </c>
      <c r="N27" s="496">
        <f>I27/D27*100</f>
        <v>195</v>
      </c>
      <c r="O27" s="496">
        <f>J27/E27*100</f>
        <v>96.03031788495575</v>
      </c>
      <c r="P27" s="496"/>
      <c r="Q27" s="10"/>
      <c r="R27" s="10"/>
      <c r="S27" s="10"/>
    </row>
    <row r="28" spans="1:19" s="11" customFormat="1" ht="12">
      <c r="A28" s="495" t="s">
        <v>196</v>
      </c>
      <c r="B28" s="496">
        <f>C28+D28+E28+F28</f>
        <v>7500000000</v>
      </c>
      <c r="C28" s="498"/>
      <c r="D28" s="498"/>
      <c r="E28" s="498"/>
      <c r="F28" s="498">
        <f>PL08_B02!D71</f>
        <v>7500000000</v>
      </c>
      <c r="G28" s="498">
        <f t="shared" si="3"/>
        <v>6410445620</v>
      </c>
      <c r="H28" s="498"/>
      <c r="I28" s="498"/>
      <c r="J28" s="498"/>
      <c r="K28" s="498">
        <f>PL08_B02!E71</f>
        <v>6410445620</v>
      </c>
      <c r="L28" s="496"/>
      <c r="M28" s="496"/>
      <c r="N28" s="496"/>
      <c r="O28" s="496"/>
      <c r="P28" s="496">
        <f t="shared" si="5"/>
        <v>85.47260826666667</v>
      </c>
      <c r="Q28" s="10"/>
      <c r="R28" s="10"/>
      <c r="S28" s="10"/>
    </row>
    <row r="29" spans="1:19" s="11" customFormat="1" ht="12">
      <c r="A29" s="495" t="s">
        <v>197</v>
      </c>
      <c r="B29" s="496">
        <f>C29+D29+E29+F29</f>
        <v>71000000000</v>
      </c>
      <c r="C29" s="498"/>
      <c r="D29" s="498"/>
      <c r="E29" s="498"/>
      <c r="F29" s="498">
        <f>PL08_B02!D58</f>
        <v>71000000000</v>
      </c>
      <c r="G29" s="498">
        <f t="shared" si="3"/>
        <v>242416584233</v>
      </c>
      <c r="H29" s="498"/>
      <c r="I29" s="498"/>
      <c r="J29" s="498"/>
      <c r="K29" s="498">
        <f>PL08_B02!E58</f>
        <v>242416584233</v>
      </c>
      <c r="L29" s="496"/>
      <c r="M29" s="496"/>
      <c r="N29" s="496"/>
      <c r="O29" s="496"/>
      <c r="P29" s="496">
        <f t="shared" si="5"/>
        <v>341.43180877887323</v>
      </c>
      <c r="Q29" s="10"/>
      <c r="R29" s="10"/>
      <c r="S29" s="10"/>
    </row>
    <row r="30" spans="1:19" s="504" customFormat="1" ht="11.25">
      <c r="A30" s="494" t="s">
        <v>167</v>
      </c>
      <c r="B30" s="502">
        <f aca="true" t="shared" si="6" ref="B30:K30">B31+B32+B35+B33+B34</f>
        <v>200365000000</v>
      </c>
      <c r="C30" s="502">
        <f t="shared" si="6"/>
        <v>0</v>
      </c>
      <c r="D30" s="502">
        <f t="shared" si="6"/>
        <v>0</v>
      </c>
      <c r="E30" s="502">
        <f t="shared" si="6"/>
        <v>0</v>
      </c>
      <c r="F30" s="502">
        <f t="shared" si="6"/>
        <v>200365000000</v>
      </c>
      <c r="G30" s="502">
        <f t="shared" si="6"/>
        <v>343184987095</v>
      </c>
      <c r="H30" s="502">
        <f t="shared" si="6"/>
        <v>0</v>
      </c>
      <c r="I30" s="502">
        <f t="shared" si="6"/>
        <v>0</v>
      </c>
      <c r="J30" s="502">
        <f t="shared" si="6"/>
        <v>0</v>
      </c>
      <c r="K30" s="502">
        <f t="shared" si="6"/>
        <v>343184987095</v>
      </c>
      <c r="L30" s="496">
        <f t="shared" si="4"/>
        <v>171.27990771591845</v>
      </c>
      <c r="M30" s="496"/>
      <c r="N30" s="496"/>
      <c r="O30" s="496"/>
      <c r="P30" s="12">
        <f t="shared" si="5"/>
        <v>171.27990771591845</v>
      </c>
      <c r="Q30" s="503"/>
      <c r="R30" s="503"/>
      <c r="S30" s="503"/>
    </row>
    <row r="31" spans="1:19" s="11" customFormat="1" ht="12">
      <c r="A31" s="495" t="s">
        <v>168</v>
      </c>
      <c r="B31" s="496">
        <f>C31+D31+E31+F31</f>
        <v>110000000000</v>
      </c>
      <c r="C31" s="498"/>
      <c r="D31" s="498"/>
      <c r="E31" s="498"/>
      <c r="F31" s="498">
        <f>PL08_B02!D57</f>
        <v>110000000000</v>
      </c>
      <c r="G31" s="498">
        <f>H31+I31+J31+K31</f>
        <v>137568226077</v>
      </c>
      <c r="H31" s="498"/>
      <c r="I31" s="498"/>
      <c r="J31" s="498"/>
      <c r="K31" s="498">
        <f>PL08_B02!E57</f>
        <v>137568226077</v>
      </c>
      <c r="L31" s="496">
        <f t="shared" si="4"/>
        <v>125.06202370636363</v>
      </c>
      <c r="M31" s="496"/>
      <c r="N31" s="496"/>
      <c r="O31" s="496"/>
      <c r="P31" s="496">
        <f t="shared" si="5"/>
        <v>125.06202370636363</v>
      </c>
      <c r="Q31" s="10"/>
      <c r="R31" s="10"/>
      <c r="S31" s="10"/>
    </row>
    <row r="32" spans="1:19" s="11" customFormat="1" ht="12">
      <c r="A32" s="495" t="s">
        <v>169</v>
      </c>
      <c r="B32" s="496">
        <f aca="true" t="shared" si="7" ref="B32:B50">C32+D32+E32+F32</f>
        <v>0</v>
      </c>
      <c r="C32" s="498"/>
      <c r="D32" s="498"/>
      <c r="E32" s="498"/>
      <c r="F32" s="498"/>
      <c r="G32" s="498">
        <f aca="true" t="shared" si="8" ref="G32:G50">H32+I32+J32+K32</f>
        <v>0</v>
      </c>
      <c r="H32" s="498"/>
      <c r="I32" s="498"/>
      <c r="J32" s="498"/>
      <c r="K32" s="498"/>
      <c r="L32" s="496"/>
      <c r="M32" s="496"/>
      <c r="N32" s="496"/>
      <c r="O32" s="496"/>
      <c r="P32" s="496"/>
      <c r="Q32" s="10"/>
      <c r="R32" s="10"/>
      <c r="S32" s="10"/>
    </row>
    <row r="33" spans="1:19" s="11" customFormat="1" ht="12">
      <c r="A33" s="495" t="s">
        <v>170</v>
      </c>
      <c r="B33" s="496">
        <f t="shared" si="7"/>
        <v>20365000000</v>
      </c>
      <c r="C33" s="498"/>
      <c r="D33" s="498"/>
      <c r="E33" s="498"/>
      <c r="F33" s="498">
        <f>PL08_B02!D104</f>
        <v>20365000000</v>
      </c>
      <c r="G33" s="498">
        <f t="shared" si="8"/>
        <v>42768856755</v>
      </c>
      <c r="H33" s="498"/>
      <c r="I33" s="498"/>
      <c r="J33" s="498"/>
      <c r="K33" s="498">
        <f>PL08_B02!E104</f>
        <v>42768856755</v>
      </c>
      <c r="L33" s="496">
        <f t="shared" si="4"/>
        <v>210.01157257549718</v>
      </c>
      <c r="M33" s="496"/>
      <c r="N33" s="496"/>
      <c r="O33" s="496"/>
      <c r="P33" s="496">
        <f t="shared" si="5"/>
        <v>210.01157257549718</v>
      </c>
      <c r="Q33" s="10"/>
      <c r="R33" s="10"/>
      <c r="S33" s="10"/>
    </row>
    <row r="34" spans="1:19" s="11" customFormat="1" ht="12">
      <c r="A34" s="495" t="s">
        <v>171</v>
      </c>
      <c r="B34" s="496">
        <f t="shared" si="7"/>
        <v>0</v>
      </c>
      <c r="C34" s="498"/>
      <c r="D34" s="498"/>
      <c r="E34" s="498"/>
      <c r="F34" s="498">
        <f>PL08_B02!D105</f>
        <v>0</v>
      </c>
      <c r="G34" s="498">
        <f t="shared" si="8"/>
        <v>0</v>
      </c>
      <c r="H34" s="498"/>
      <c r="I34" s="498"/>
      <c r="J34" s="498"/>
      <c r="K34" s="498">
        <f>0</f>
        <v>0</v>
      </c>
      <c r="L34" s="496"/>
      <c r="M34" s="496"/>
      <c r="N34" s="496"/>
      <c r="O34" s="496"/>
      <c r="P34" s="496"/>
      <c r="Q34" s="10"/>
      <c r="R34" s="10"/>
      <c r="S34" s="10"/>
    </row>
    <row r="35" spans="1:19" s="11" customFormat="1" ht="12">
      <c r="A35" s="495" t="s">
        <v>635</v>
      </c>
      <c r="B35" s="496">
        <f t="shared" si="7"/>
        <v>70000000000</v>
      </c>
      <c r="C35" s="498"/>
      <c r="D35" s="498"/>
      <c r="E35" s="498"/>
      <c r="F35" s="498">
        <f>PL08_B02!D59</f>
        <v>70000000000</v>
      </c>
      <c r="G35" s="498">
        <f t="shared" si="8"/>
        <v>162847904263</v>
      </c>
      <c r="H35" s="498"/>
      <c r="I35" s="498"/>
      <c r="J35" s="498"/>
      <c r="K35" s="498">
        <f>PL08_B02!E59</f>
        <v>162847904263</v>
      </c>
      <c r="L35" s="496">
        <f t="shared" si="4"/>
        <v>232.63986323285715</v>
      </c>
      <c r="M35" s="496"/>
      <c r="N35" s="496"/>
      <c r="O35" s="496"/>
      <c r="P35" s="496">
        <f t="shared" si="5"/>
        <v>232.63986323285715</v>
      </c>
      <c r="Q35" s="10"/>
      <c r="R35" s="10"/>
      <c r="S35" s="10"/>
    </row>
    <row r="36" spans="1:19" s="504" customFormat="1" ht="11.25">
      <c r="A36" s="494" t="s">
        <v>172</v>
      </c>
      <c r="B36" s="12">
        <f>B37+B38+B39+B40+B41+B42+B43+B44+B45+B46</f>
        <v>931415000000</v>
      </c>
      <c r="C36" s="502">
        <f>C37+C38+C39+C40+C41+C42+C43+C44+C45+C46</f>
        <v>27780000000</v>
      </c>
      <c r="D36" s="502">
        <f>D37+D38+D39+D40+D41+D42+D43+D44+D45+D46</f>
        <v>0</v>
      </c>
      <c r="E36" s="502">
        <f>E37+E38+E39+E40+E41+E42+E43+E44+E45+E46</f>
        <v>14000000000</v>
      </c>
      <c r="F36" s="502">
        <f>F37+F38+F39+F40+F41+F42+F43+F44+F45+F46</f>
        <v>889635000000</v>
      </c>
      <c r="G36" s="502">
        <f>SUM(G37:G46)</f>
        <v>1183334915979</v>
      </c>
      <c r="H36" s="502">
        <f>SUM(H37:H46)</f>
        <v>39228064223</v>
      </c>
      <c r="I36" s="502">
        <f>SUM(I37:I46)</f>
        <v>300298786</v>
      </c>
      <c r="J36" s="502">
        <f>SUM(J37:J46)</f>
        <v>12825362208</v>
      </c>
      <c r="K36" s="502">
        <f>SUM(K37:K46)</f>
        <v>1130981190762</v>
      </c>
      <c r="L36" s="12">
        <f>G36/B36*100</f>
        <v>127.04701083609346</v>
      </c>
      <c r="M36" s="12">
        <f>H36/C36*100</f>
        <v>141.20973442404608</v>
      </c>
      <c r="N36" s="12"/>
      <c r="O36" s="12"/>
      <c r="P36" s="12">
        <f t="shared" si="5"/>
        <v>127.12867532887083</v>
      </c>
      <c r="Q36" s="503"/>
      <c r="R36" s="503"/>
      <c r="S36" s="503"/>
    </row>
    <row r="37" spans="1:19" s="11" customFormat="1" ht="24">
      <c r="A37" s="497" t="s">
        <v>173</v>
      </c>
      <c r="B37" s="496">
        <f t="shared" si="7"/>
        <v>57000000000</v>
      </c>
      <c r="C37" s="498"/>
      <c r="D37" s="498"/>
      <c r="E37" s="498"/>
      <c r="F37" s="498">
        <f>PL08_B02!D68</f>
        <v>57000000000</v>
      </c>
      <c r="G37" s="498">
        <f t="shared" si="8"/>
        <v>64072398956</v>
      </c>
      <c r="H37" s="498"/>
      <c r="I37" s="498"/>
      <c r="J37" s="498"/>
      <c r="K37" s="498">
        <f>PL08_B02!E68</f>
        <v>64072398956</v>
      </c>
      <c r="L37" s="496">
        <f>G37/B37*100</f>
        <v>112.40771746666667</v>
      </c>
      <c r="M37" s="496"/>
      <c r="N37" s="496"/>
      <c r="O37" s="496"/>
      <c r="P37" s="496">
        <f t="shared" si="5"/>
        <v>112.40771746666667</v>
      </c>
      <c r="Q37" s="505"/>
      <c r="R37" s="10"/>
      <c r="S37" s="10"/>
    </row>
    <row r="38" spans="1:19" s="11" customFormat="1" ht="12">
      <c r="A38" s="495" t="s">
        <v>174</v>
      </c>
      <c r="B38" s="496">
        <f t="shared" si="7"/>
        <v>485000000000</v>
      </c>
      <c r="C38" s="498"/>
      <c r="D38" s="498"/>
      <c r="E38" s="498"/>
      <c r="F38" s="498">
        <f>PL08_B02!D69</f>
        <v>485000000000</v>
      </c>
      <c r="G38" s="498">
        <f t="shared" si="8"/>
        <v>796660197330</v>
      </c>
      <c r="H38" s="498"/>
      <c r="I38" s="498"/>
      <c r="J38" s="498"/>
      <c r="K38" s="498">
        <f>PL08_B02!E69</f>
        <v>796660197330</v>
      </c>
      <c r="L38" s="496">
        <f aca="true" t="shared" si="9" ref="L38:L43">G38/B38*100</f>
        <v>164.25983450103092</v>
      </c>
      <c r="M38" s="496"/>
      <c r="N38" s="496"/>
      <c r="O38" s="496"/>
      <c r="P38" s="496">
        <f t="shared" si="5"/>
        <v>164.25983450103092</v>
      </c>
      <c r="Q38" s="10"/>
      <c r="R38" s="10"/>
      <c r="S38" s="10"/>
    </row>
    <row r="39" spans="1:19" s="11" customFormat="1" ht="12">
      <c r="A39" s="495" t="s">
        <v>175</v>
      </c>
      <c r="B39" s="496">
        <f t="shared" si="7"/>
        <v>0</v>
      </c>
      <c r="C39" s="498"/>
      <c r="D39" s="498"/>
      <c r="E39" s="498"/>
      <c r="F39" s="498">
        <f>PL08_B02!D70</f>
        <v>0</v>
      </c>
      <c r="G39" s="498">
        <f t="shared" si="8"/>
        <v>1734693000</v>
      </c>
      <c r="H39" s="498"/>
      <c r="I39" s="498"/>
      <c r="J39" s="498"/>
      <c r="K39" s="498">
        <f>PL08_B02!E70</f>
        <v>1734693000</v>
      </c>
      <c r="L39" s="496"/>
      <c r="M39" s="496"/>
      <c r="N39" s="496"/>
      <c r="O39" s="496"/>
      <c r="P39" s="496"/>
      <c r="Q39" s="10"/>
      <c r="R39" s="10"/>
      <c r="S39" s="10"/>
    </row>
    <row r="40" spans="1:19" s="11" customFormat="1" ht="24">
      <c r="A40" s="506" t="s">
        <v>176</v>
      </c>
      <c r="B40" s="496">
        <f t="shared" si="7"/>
        <v>0</v>
      </c>
      <c r="C40" s="498"/>
      <c r="D40" s="498"/>
      <c r="E40" s="498"/>
      <c r="F40" s="498">
        <f>PL08_B02!D74</f>
        <v>0</v>
      </c>
      <c r="G40" s="498">
        <f t="shared" si="8"/>
        <v>12248320076</v>
      </c>
      <c r="H40" s="498"/>
      <c r="I40" s="498"/>
      <c r="J40" s="498"/>
      <c r="K40" s="498">
        <f>PL08_B02!E74</f>
        <v>12248320076</v>
      </c>
      <c r="L40" s="496"/>
      <c r="M40" s="496"/>
      <c r="N40" s="496"/>
      <c r="O40" s="496"/>
      <c r="P40" s="496"/>
      <c r="Q40" s="10"/>
      <c r="R40" s="10"/>
      <c r="S40" s="10"/>
    </row>
    <row r="41" spans="1:19" s="11" customFormat="1" ht="12">
      <c r="A41" s="507" t="s">
        <v>177</v>
      </c>
      <c r="B41" s="496">
        <f t="shared" si="7"/>
        <v>101780000000</v>
      </c>
      <c r="C41" s="498">
        <f>PL08_B02!D24+PL08_B02!D31+PL08_B02!D98</f>
        <v>780000000</v>
      </c>
      <c r="D41" s="498">
        <f>PL08_B02!D40</f>
        <v>0</v>
      </c>
      <c r="E41" s="498">
        <f>PL08_B02!D48+PL08_B02!D55</f>
        <v>14000000000</v>
      </c>
      <c r="F41" s="669">
        <f>PL08_B02!D73+PL08_B02!D80</f>
        <v>87000000000</v>
      </c>
      <c r="G41" s="498">
        <f t="shared" si="8"/>
        <v>86615991041</v>
      </c>
      <c r="H41" s="498">
        <f>PL08_B02!E24+PL08_B02!E31+PL08_B02!E98</f>
        <v>6618817088</v>
      </c>
      <c r="I41" s="498">
        <f>PL08_B02!E40+PL08_B02!E39</f>
        <v>300298786</v>
      </c>
      <c r="J41" s="498">
        <f>PL08_B02!E48+PL08_B02!E55</f>
        <v>12825362208</v>
      </c>
      <c r="K41" s="669">
        <f>PL08_B02!E75+PL08_B02!E77+PL08_B02!E79+PL08_B02!E88+PL08_B02!E90+PL08_B02!E91+PL08_B02!E92</f>
        <v>66871512959</v>
      </c>
      <c r="L41" s="496">
        <f t="shared" si="9"/>
        <v>85.10118986146591</v>
      </c>
      <c r="M41" s="496"/>
      <c r="N41" s="496"/>
      <c r="O41" s="496"/>
      <c r="P41" s="496">
        <f t="shared" si="5"/>
        <v>76.86380799885058</v>
      </c>
      <c r="Q41" s="10"/>
      <c r="R41" s="10"/>
      <c r="S41" s="10"/>
    </row>
    <row r="42" spans="1:19" s="11" customFormat="1" ht="12">
      <c r="A42" s="507" t="s">
        <v>721</v>
      </c>
      <c r="B42" s="496">
        <f t="shared" si="7"/>
        <v>8000000000</v>
      </c>
      <c r="C42" s="498"/>
      <c r="D42" s="498"/>
      <c r="E42" s="498"/>
      <c r="F42" s="498">
        <f>PL08_B02!D67</f>
        <v>8000000000</v>
      </c>
      <c r="G42" s="498">
        <f t="shared" si="8"/>
        <v>33441090250</v>
      </c>
      <c r="H42" s="498"/>
      <c r="I42" s="498"/>
      <c r="J42" s="498"/>
      <c r="K42" s="498">
        <f>PL08_B02!E67</f>
        <v>33441090250</v>
      </c>
      <c r="L42" s="496"/>
      <c r="M42" s="496"/>
      <c r="N42" s="496"/>
      <c r="O42" s="496"/>
      <c r="P42" s="496"/>
      <c r="Q42" s="10"/>
      <c r="R42" s="10"/>
      <c r="S42" s="10"/>
    </row>
    <row r="43" spans="1:19" s="11" customFormat="1" ht="12">
      <c r="A43" s="507" t="s">
        <v>178</v>
      </c>
      <c r="B43" s="496">
        <f t="shared" si="7"/>
        <v>252635000000</v>
      </c>
      <c r="C43" s="498"/>
      <c r="D43" s="498"/>
      <c r="E43" s="498"/>
      <c r="F43" s="498">
        <f>PL08_B02!D114</f>
        <v>252635000000</v>
      </c>
      <c r="G43" s="498">
        <f t="shared" si="8"/>
        <v>88255976871</v>
      </c>
      <c r="H43" s="498"/>
      <c r="I43" s="498"/>
      <c r="J43" s="498"/>
      <c r="K43" s="498">
        <f>PL08_B02!E114</f>
        <v>88255976871</v>
      </c>
      <c r="L43" s="496">
        <f t="shared" si="9"/>
        <v>34.93418444435648</v>
      </c>
      <c r="M43" s="496"/>
      <c r="N43" s="496"/>
      <c r="O43" s="496"/>
      <c r="P43" s="496">
        <f t="shared" si="5"/>
        <v>34.93418444435648</v>
      </c>
      <c r="Q43" s="10"/>
      <c r="R43" s="10"/>
      <c r="S43" s="10"/>
    </row>
    <row r="44" spans="1:19" s="11" customFormat="1" ht="12">
      <c r="A44" s="507" t="s">
        <v>179</v>
      </c>
      <c r="B44" s="496">
        <f t="shared" si="7"/>
        <v>0</v>
      </c>
      <c r="C44" s="498"/>
      <c r="D44" s="498"/>
      <c r="E44" s="498"/>
      <c r="F44" s="498"/>
      <c r="G44" s="498">
        <f t="shared" si="8"/>
        <v>67697001320</v>
      </c>
      <c r="H44" s="498"/>
      <c r="I44" s="498"/>
      <c r="J44" s="498"/>
      <c r="K44" s="498">
        <f>PL08_B02!E78+PL08_B02!E82+PL08_B02!E83+PL08_B02!E85+PL08_B02!E86</f>
        <v>67697001320</v>
      </c>
      <c r="L44" s="496"/>
      <c r="M44" s="496"/>
      <c r="N44" s="496"/>
      <c r="O44" s="496"/>
      <c r="P44" s="496"/>
      <c r="Q44" s="10"/>
      <c r="R44" s="10"/>
      <c r="S44" s="10"/>
    </row>
    <row r="45" spans="1:19" s="11" customFormat="1" ht="12">
      <c r="A45" s="507" t="s">
        <v>180</v>
      </c>
      <c r="B45" s="496">
        <f t="shared" si="7"/>
        <v>0</v>
      </c>
      <c r="C45" s="498"/>
      <c r="D45" s="498"/>
      <c r="E45" s="498"/>
      <c r="F45" s="498"/>
      <c r="G45" s="498"/>
      <c r="H45" s="498"/>
      <c r="I45" s="498"/>
      <c r="J45" s="498"/>
      <c r="K45" s="498"/>
      <c r="L45" s="496"/>
      <c r="M45" s="496"/>
      <c r="N45" s="496"/>
      <c r="O45" s="496"/>
      <c r="P45" s="496"/>
      <c r="Q45" s="10"/>
      <c r="R45" s="10"/>
      <c r="S45" s="10"/>
    </row>
    <row r="46" spans="1:19" s="11" customFormat="1" ht="12">
      <c r="A46" s="507" t="s">
        <v>181</v>
      </c>
      <c r="B46" s="496">
        <f t="shared" si="7"/>
        <v>27000000000</v>
      </c>
      <c r="C46" s="498">
        <f>PL08_B02!D107</f>
        <v>27000000000</v>
      </c>
      <c r="D46" s="498"/>
      <c r="E46" s="498"/>
      <c r="F46" s="498"/>
      <c r="G46" s="498">
        <f t="shared" si="8"/>
        <v>32609247135</v>
      </c>
      <c r="H46" s="498">
        <f>PL08_B02!E107</f>
        <v>32609247135</v>
      </c>
      <c r="I46" s="498"/>
      <c r="J46" s="498"/>
      <c r="K46" s="498"/>
      <c r="L46" s="496">
        <f>G46/B46*100</f>
        <v>120.77498938888888</v>
      </c>
      <c r="M46" s="496">
        <f>H46/C46*100</f>
        <v>120.77498938888888</v>
      </c>
      <c r="N46" s="496"/>
      <c r="O46" s="496"/>
      <c r="P46" s="496"/>
      <c r="Q46" s="10"/>
      <c r="R46" s="10"/>
      <c r="S46" s="10"/>
    </row>
    <row r="47" spans="1:19" s="504" customFormat="1" ht="11.25">
      <c r="A47" s="494" t="s">
        <v>182</v>
      </c>
      <c r="B47" s="12">
        <f t="shared" si="7"/>
        <v>0</v>
      </c>
      <c r="C47" s="502">
        <v>0</v>
      </c>
      <c r="D47" s="502">
        <v>0</v>
      </c>
      <c r="E47" s="502">
        <v>0</v>
      </c>
      <c r="F47" s="502">
        <f>PL08_B02!D106</f>
        <v>0</v>
      </c>
      <c r="G47" s="502">
        <f t="shared" si="8"/>
        <v>4997385950</v>
      </c>
      <c r="H47" s="502">
        <v>0</v>
      </c>
      <c r="I47" s="502">
        <v>0</v>
      </c>
      <c r="J47" s="502">
        <v>0</v>
      </c>
      <c r="K47" s="502">
        <f>PL08_B02!E106</f>
        <v>4997385950</v>
      </c>
      <c r="L47" s="12"/>
      <c r="M47" s="12"/>
      <c r="N47" s="12"/>
      <c r="O47" s="12"/>
      <c r="P47" s="12"/>
      <c r="Q47" s="503"/>
      <c r="R47" s="503"/>
      <c r="S47" s="503"/>
    </row>
    <row r="48" spans="1:19" s="504" customFormat="1" ht="11.25">
      <c r="A48" s="494" t="s">
        <v>183</v>
      </c>
      <c r="B48" s="12">
        <f t="shared" si="7"/>
        <v>0</v>
      </c>
      <c r="C48" s="502"/>
      <c r="D48" s="502"/>
      <c r="E48" s="502"/>
      <c r="F48" s="502"/>
      <c r="G48" s="502">
        <f t="shared" si="8"/>
        <v>985261958905</v>
      </c>
      <c r="H48" s="502"/>
      <c r="I48" s="502"/>
      <c r="J48" s="502"/>
      <c r="K48" s="502">
        <f>PL08_B02!E101</f>
        <v>985261958905</v>
      </c>
      <c r="L48" s="12"/>
      <c r="M48" s="12"/>
      <c r="N48" s="12"/>
      <c r="O48" s="12"/>
      <c r="P48" s="12"/>
      <c r="Q48" s="503"/>
      <c r="R48" s="503"/>
      <c r="S48" s="503"/>
    </row>
    <row r="49" spans="1:19" s="504" customFormat="1" ht="22.5">
      <c r="A49" s="508" t="s">
        <v>184</v>
      </c>
      <c r="B49" s="12">
        <f t="shared" si="7"/>
        <v>80000000000</v>
      </c>
      <c r="C49" s="502"/>
      <c r="D49" s="502"/>
      <c r="E49" s="502"/>
      <c r="F49" s="502">
        <f>PL08_B02!D102</f>
        <v>80000000000</v>
      </c>
      <c r="G49" s="502">
        <f t="shared" si="8"/>
        <v>228000000000</v>
      </c>
      <c r="H49" s="502"/>
      <c r="I49" s="502"/>
      <c r="J49" s="502"/>
      <c r="K49" s="502">
        <f>PL08_B02!E102</f>
        <v>228000000000</v>
      </c>
      <c r="L49" s="12">
        <f>G49/B49*100</f>
        <v>285</v>
      </c>
      <c r="M49" s="12"/>
      <c r="N49" s="12"/>
      <c r="O49" s="12"/>
      <c r="P49" s="12">
        <f t="shared" si="5"/>
        <v>285</v>
      </c>
      <c r="Q49" s="503"/>
      <c r="R49" s="503"/>
      <c r="S49" s="503"/>
    </row>
    <row r="50" spans="1:19" s="504" customFormat="1" ht="11.25">
      <c r="A50" s="494" t="s">
        <v>185</v>
      </c>
      <c r="B50" s="12">
        <f t="shared" si="7"/>
        <v>0</v>
      </c>
      <c r="C50" s="502">
        <v>0</v>
      </c>
      <c r="D50" s="502">
        <v>0</v>
      </c>
      <c r="E50" s="502">
        <v>0</v>
      </c>
      <c r="F50" s="502">
        <f>PL08_B02!D99</f>
        <v>0</v>
      </c>
      <c r="G50" s="502">
        <f t="shared" si="8"/>
        <v>199412541761</v>
      </c>
      <c r="H50" s="502">
        <v>0</v>
      </c>
      <c r="I50" s="502">
        <v>0</v>
      </c>
      <c r="J50" s="502">
        <v>0</v>
      </c>
      <c r="K50" s="502">
        <f>PL08_B02!E100</f>
        <v>199412541761</v>
      </c>
      <c r="L50" s="12"/>
      <c r="M50" s="12"/>
      <c r="N50" s="12"/>
      <c r="O50" s="12"/>
      <c r="P50" s="12"/>
      <c r="Q50" s="503"/>
      <c r="R50" s="503"/>
      <c r="S50" s="503"/>
    </row>
    <row r="51" spans="1:19" s="504" customFormat="1" ht="22.5">
      <c r="A51" s="508" t="s">
        <v>631</v>
      </c>
      <c r="B51" s="12">
        <f>C51+D51+E51+F51</f>
        <v>1904400000000</v>
      </c>
      <c r="C51" s="502">
        <f>C10-PL08_B02!D93</f>
        <v>327000000000</v>
      </c>
      <c r="D51" s="502">
        <f>D10</f>
        <v>5000000000</v>
      </c>
      <c r="E51" s="502">
        <f>E10</f>
        <v>563500000000</v>
      </c>
      <c r="F51" s="502">
        <f>1904400000000-E51-D51-C51</f>
        <v>1008900000000</v>
      </c>
      <c r="G51" s="502">
        <f>H51+I51+J51+K51</f>
        <v>4153311250096</v>
      </c>
      <c r="H51" s="502">
        <f>H10-H14-H16-H17-PL08_B02!F17</f>
        <v>313844452695</v>
      </c>
      <c r="I51" s="502">
        <f>I10-I14-I17-I18-I16</f>
        <v>8557610056</v>
      </c>
      <c r="J51" s="502">
        <f>J10-J14-J17-J18-J16</f>
        <v>491878028953</v>
      </c>
      <c r="K51" s="502">
        <f>K10+K50-PL08_B02!F59-PL08_B02!F66-PL08_B02!F80</f>
        <v>3339031158392</v>
      </c>
      <c r="L51" s="12">
        <f>G51/B51*100</f>
        <v>218.09027778281873</v>
      </c>
      <c r="M51" s="12">
        <f>H51/C51*100</f>
        <v>95.97689684862385</v>
      </c>
      <c r="N51" s="12">
        <f>I51/D51*100</f>
        <v>171.15220112</v>
      </c>
      <c r="O51" s="12">
        <f>J51/E51*100</f>
        <v>87.289801056433</v>
      </c>
      <c r="P51" s="12">
        <f t="shared" si="5"/>
        <v>330.9575932591932</v>
      </c>
      <c r="Q51" s="503"/>
      <c r="R51" s="503"/>
      <c r="S51" s="503"/>
    </row>
    <row r="52" spans="1:19" s="11" customFormat="1" ht="12">
      <c r="A52" s="509"/>
      <c r="B52" s="510"/>
      <c r="C52" s="511"/>
      <c r="D52" s="511"/>
      <c r="E52" s="511"/>
      <c r="F52" s="511"/>
      <c r="G52" s="511"/>
      <c r="H52" s="511"/>
      <c r="I52" s="511"/>
      <c r="J52" s="511"/>
      <c r="K52" s="511"/>
      <c r="L52" s="510"/>
      <c r="M52" s="510"/>
      <c r="N52" s="512"/>
      <c r="O52" s="512"/>
      <c r="P52" s="512"/>
      <c r="Q52" s="10"/>
      <c r="R52" s="10"/>
      <c r="S52" s="10"/>
    </row>
    <row r="53" spans="2:13" s="13" customFormat="1" ht="24.75" customHeight="1">
      <c r="B53" s="785" t="s">
        <v>718</v>
      </c>
      <c r="C53" s="785"/>
      <c r="D53" s="785"/>
      <c r="E53" s="785"/>
      <c r="G53" s="14"/>
      <c r="H53" s="668"/>
      <c r="J53" s="513" t="s">
        <v>719</v>
      </c>
      <c r="K53" s="513"/>
      <c r="L53" s="513"/>
      <c r="M53" s="513"/>
    </row>
    <row r="54" spans="2:13" s="15" customFormat="1" ht="18" customHeight="1">
      <c r="B54" s="792" t="s">
        <v>186</v>
      </c>
      <c r="C54" s="792"/>
      <c r="D54" s="792"/>
      <c r="E54" s="792"/>
      <c r="G54" s="17"/>
      <c r="H54" s="670"/>
      <c r="J54" s="18" t="s">
        <v>187</v>
      </c>
      <c r="K54" s="18"/>
      <c r="L54" s="18"/>
      <c r="M54" s="18"/>
    </row>
    <row r="55" spans="2:15" s="15" customFormat="1" ht="17.25" customHeight="1">
      <c r="B55" s="19"/>
      <c r="C55" s="16"/>
      <c r="D55" s="793"/>
      <c r="E55" s="793"/>
      <c r="F55" s="793"/>
      <c r="G55" s="793"/>
      <c r="H55" s="20"/>
      <c r="I55" s="793" t="s">
        <v>188</v>
      </c>
      <c r="J55" s="793"/>
      <c r="K55" s="793"/>
      <c r="L55" s="793"/>
      <c r="M55" s="793"/>
      <c r="N55" s="793"/>
      <c r="O55" s="793"/>
    </row>
    <row r="56" spans="2:15" s="15" customFormat="1" ht="15">
      <c r="B56" s="21"/>
      <c r="C56" s="22"/>
      <c r="D56" s="799"/>
      <c r="E56" s="799"/>
      <c r="F56" s="799"/>
      <c r="G56" s="799"/>
      <c r="H56" s="23"/>
      <c r="I56" s="793"/>
      <c r="J56" s="793"/>
      <c r="K56" s="793"/>
      <c r="L56" s="793"/>
      <c r="M56" s="793"/>
      <c r="N56" s="793"/>
      <c r="O56" s="793"/>
    </row>
    <row r="57" spans="2:15" s="249" customFormat="1" ht="9.75">
      <c r="B57" s="514"/>
      <c r="C57" s="515"/>
      <c r="D57" s="516"/>
      <c r="E57" s="516"/>
      <c r="F57" s="517"/>
      <c r="G57" s="517"/>
      <c r="H57" s="517"/>
      <c r="I57" s="788"/>
      <c r="J57" s="788"/>
      <c r="K57" s="788"/>
      <c r="L57" s="788"/>
      <c r="M57" s="788"/>
      <c r="N57" s="788"/>
      <c r="O57" s="788"/>
    </row>
    <row r="58" spans="2:10" s="249" customFormat="1" ht="9.75">
      <c r="B58" s="248"/>
      <c r="G58" s="248"/>
      <c r="H58" s="248"/>
      <c r="I58" s="248">
        <f>PL08_B02!E33</f>
        <v>8557610056</v>
      </c>
      <c r="J58" s="248">
        <f>PL08_B02!E41</f>
        <v>491878028953</v>
      </c>
    </row>
    <row r="59" spans="1:10" s="249" customFormat="1" ht="9.75">
      <c r="A59" s="248"/>
      <c r="G59" s="248"/>
      <c r="H59" s="248"/>
      <c r="I59" s="248">
        <f>I58-I10</f>
        <v>0</v>
      </c>
      <c r="J59" s="248">
        <f>J58-J10</f>
        <v>0</v>
      </c>
    </row>
    <row r="60" spans="1:8" s="249" customFormat="1" ht="9.75">
      <c r="A60" s="248"/>
      <c r="C60" s="248">
        <f>PL08_B02!D13</f>
        <v>2580000000000</v>
      </c>
      <c r="G60" s="248">
        <f>PL08_B02!E13</f>
        <v>4197402795375</v>
      </c>
      <c r="H60" s="248"/>
    </row>
    <row r="61" spans="1:8" s="249" customFormat="1" ht="9.75">
      <c r="A61" s="248"/>
      <c r="C61" s="248">
        <f>C60-B10</f>
        <v>0</v>
      </c>
      <c r="G61" s="248">
        <f>G60-G10</f>
        <v>0</v>
      </c>
      <c r="H61" s="248"/>
    </row>
    <row r="62" spans="1:7" s="249" customFormat="1" ht="9.75">
      <c r="A62" s="248"/>
      <c r="G62" s="248"/>
    </row>
    <row r="63" spans="1:7" s="249" customFormat="1" ht="9.75">
      <c r="A63" s="248"/>
      <c r="G63" s="248"/>
    </row>
    <row r="64" spans="1:7" s="249" customFormat="1" ht="9.75">
      <c r="A64" s="248"/>
      <c r="G64" s="248"/>
    </row>
    <row r="65" s="249" customFormat="1" ht="9.75">
      <c r="G65" s="248"/>
    </row>
    <row r="66" s="249" customFormat="1" ht="9.75">
      <c r="G66" s="248"/>
    </row>
    <row r="67" s="249" customFormat="1" ht="9.75"/>
    <row r="68" s="249" customFormat="1" ht="9.75"/>
    <row r="69" s="249" customFormat="1" ht="9.75"/>
    <row r="70" s="249" customFormat="1" ht="9.75"/>
    <row r="71" s="249" customFormat="1" ht="9.75"/>
    <row r="72" s="249" customFormat="1" ht="9.75"/>
  </sheetData>
  <sheetProtection/>
  <mergeCells count="28">
    <mergeCell ref="B53:E53"/>
    <mergeCell ref="D55:G55"/>
    <mergeCell ref="I55:O55"/>
    <mergeCell ref="I7:I8"/>
    <mergeCell ref="J7:J8"/>
    <mergeCell ref="K7:K8"/>
    <mergeCell ref="L7:L8"/>
    <mergeCell ref="H7:H8"/>
    <mergeCell ref="F7:F8"/>
    <mergeCell ref="G7:G8"/>
    <mergeCell ref="P7:P8"/>
    <mergeCell ref="I57:O57"/>
    <mergeCell ref="B6:F6"/>
    <mergeCell ref="B54:E54"/>
    <mergeCell ref="D56:G56"/>
    <mergeCell ref="M7:M8"/>
    <mergeCell ref="N7:N8"/>
    <mergeCell ref="I56:O56"/>
    <mergeCell ref="O7:O8"/>
    <mergeCell ref="E7:E8"/>
    <mergeCell ref="A6:A8"/>
    <mergeCell ref="B7:B8"/>
    <mergeCell ref="C7:C8"/>
    <mergeCell ref="D7:D8"/>
    <mergeCell ref="A4:P4"/>
    <mergeCell ref="A1:P1"/>
    <mergeCell ref="A2:P2"/>
    <mergeCell ref="E5:P5"/>
  </mergeCells>
  <printOptions/>
  <pageMargins left="0" right="0.2" top="0" bottom="0" header="0" footer="0"/>
  <pageSetup horizontalDpi="600" verticalDpi="600" orientation="landscape" paperSize="9" scale="86" r:id="rId2"/>
  <headerFooter alignWithMargins="0">
    <oddFooter>&amp;CTrang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A21" sqref="A21:B21"/>
    </sheetView>
  </sheetViews>
  <sheetFormatPr defaultColWidth="9.140625" defaultRowHeight="12.75"/>
  <cols>
    <col min="1" max="1" width="17.57421875" style="0" customWidth="1"/>
    <col min="2" max="2" width="15.140625" style="0" customWidth="1"/>
    <col min="3" max="4" width="13.8515625" style="0" customWidth="1"/>
    <col min="5" max="5" width="13.57421875" style="0" customWidth="1"/>
    <col min="6" max="6" width="16.7109375" style="0" customWidth="1"/>
    <col min="7" max="7" width="14.7109375" style="0" customWidth="1"/>
    <col min="8" max="8" width="13.8515625" style="0" customWidth="1"/>
    <col min="9" max="9" width="14.00390625" style="0" customWidth="1"/>
    <col min="10" max="10" width="13.57421875" style="0" customWidth="1"/>
  </cols>
  <sheetData>
    <row r="1" spans="1:10" ht="31.5" customHeight="1">
      <c r="A1" s="786" t="s">
        <v>241</v>
      </c>
      <c r="B1" s="786"/>
      <c r="C1" s="31"/>
      <c r="D1" s="31"/>
      <c r="E1" s="31"/>
      <c r="F1" s="31"/>
      <c r="G1" s="31"/>
      <c r="H1" s="31"/>
      <c r="I1" s="827" t="s">
        <v>311</v>
      </c>
      <c r="J1" s="827"/>
    </row>
    <row r="2" spans="1:10" ht="17.25" customHeight="1">
      <c r="A2" s="828" t="s">
        <v>712</v>
      </c>
      <c r="B2" s="828"/>
      <c r="C2" s="828"/>
      <c r="D2" s="828"/>
      <c r="E2" s="828"/>
      <c r="F2" s="828"/>
      <c r="G2" s="828"/>
      <c r="H2" s="828"/>
      <c r="I2" s="828"/>
      <c r="J2" s="828"/>
    </row>
    <row r="3" spans="1:10" s="59" customFormat="1" ht="12">
      <c r="A3" s="63"/>
      <c r="B3" s="57"/>
      <c r="C3" s="57"/>
      <c r="D3" s="58"/>
      <c r="E3" s="58"/>
      <c r="F3" s="58"/>
      <c r="G3" s="58"/>
      <c r="H3" s="58"/>
      <c r="I3" s="829" t="s">
        <v>242</v>
      </c>
      <c r="J3" s="829"/>
    </row>
    <row r="4" spans="1:10" ht="26.25">
      <c r="A4" s="32" t="s">
        <v>209</v>
      </c>
      <c r="B4" s="32" t="s">
        <v>145</v>
      </c>
      <c r="C4" s="32" t="s">
        <v>5</v>
      </c>
      <c r="D4" s="32" t="s">
        <v>6</v>
      </c>
      <c r="E4" s="32" t="s">
        <v>210</v>
      </c>
      <c r="F4" s="32" t="s">
        <v>211</v>
      </c>
      <c r="G4" s="32" t="s">
        <v>145</v>
      </c>
      <c r="H4" s="32" t="s">
        <v>234</v>
      </c>
      <c r="I4" s="32" t="s">
        <v>235</v>
      </c>
      <c r="J4" s="32" t="s">
        <v>236</v>
      </c>
    </row>
    <row r="5" spans="1:10" ht="12.75">
      <c r="A5" s="33" t="s">
        <v>212</v>
      </c>
      <c r="B5" s="34">
        <f>B6+B18</f>
        <v>13723028455036</v>
      </c>
      <c r="C5" s="34">
        <f>C6+C18</f>
        <v>7891137354189</v>
      </c>
      <c r="D5" s="34">
        <f>D6+D18</f>
        <v>4544452608340</v>
      </c>
      <c r="E5" s="34">
        <f>E6+E18</f>
        <v>1287438492507</v>
      </c>
      <c r="F5" s="35" t="s">
        <v>213</v>
      </c>
      <c r="G5" s="34">
        <f>G6+G18</f>
        <v>13483979005707</v>
      </c>
      <c r="H5" s="34">
        <f>H6+H18</f>
        <v>7853296457329</v>
      </c>
      <c r="I5" s="34">
        <f>I6+I18</f>
        <v>4395421971230</v>
      </c>
      <c r="J5" s="34">
        <f>J6+J18</f>
        <v>1235260577148</v>
      </c>
    </row>
    <row r="6" spans="1:10" ht="22.5">
      <c r="A6" s="36" t="s">
        <v>214</v>
      </c>
      <c r="B6" s="34">
        <f>B7+B8+B9++B10+B11+B12+B13+B16</f>
        <v>13554396988325</v>
      </c>
      <c r="C6" s="34">
        <f>C7+C8+C9++C10+C11+C12+C13+C16</f>
        <v>7833366197849</v>
      </c>
      <c r="D6" s="34">
        <f>D7+D8+D9++D10+D11+D12+D13+D16</f>
        <v>4520170624840</v>
      </c>
      <c r="E6" s="34">
        <f>E7+E8+E9++E10+E11+E12+E13+E16</f>
        <v>1200860165636</v>
      </c>
      <c r="F6" s="36" t="s">
        <v>215</v>
      </c>
      <c r="G6" s="34">
        <f>H6+I6+J6</f>
        <v>13316268185367</v>
      </c>
      <c r="H6" s="34">
        <f>H7+H11+H12+H13+H14+H15+H16</f>
        <v>7796445947360</v>
      </c>
      <c r="I6" s="34">
        <f>I7+I11+I12+I13+I14+I15+I16</f>
        <v>4371139987730</v>
      </c>
      <c r="J6" s="34">
        <f>J7+J11+J12+J13+J14+J15+J16</f>
        <v>1148682250277</v>
      </c>
    </row>
    <row r="7" spans="1:10" ht="26.25">
      <c r="A7" s="37" t="s">
        <v>216</v>
      </c>
      <c r="B7" s="38">
        <f>SUM(C7:E7)</f>
        <v>1368645097110</v>
      </c>
      <c r="C7" s="38">
        <f>PL08_B02!G15-'Can doi'!C8+PL08_B02!G93</f>
        <v>673801282324</v>
      </c>
      <c r="D7" s="38">
        <f>PL08_B02!H15-'Can doi'!D8+PL08_B02!H93</f>
        <v>406153953784</v>
      </c>
      <c r="E7" s="38">
        <f>PL08_B02!I15-'Can doi'!E8+PL08_B02!I93</f>
        <v>288689861002</v>
      </c>
      <c r="F7" s="39" t="s">
        <v>217</v>
      </c>
      <c r="G7" s="38">
        <f aca="true" t="shared" si="0" ref="G7:G18">SUM(H7:J7)</f>
        <v>2189880948382</v>
      </c>
      <c r="H7" s="38">
        <f>H8+H9+H10</f>
        <v>1354412163305</v>
      </c>
      <c r="I7" s="38">
        <f>I8+I9+I10</f>
        <v>621325609479</v>
      </c>
      <c r="J7" s="38">
        <f>J8+J9+J10</f>
        <v>214143175598</v>
      </c>
    </row>
    <row r="8" spans="1:10" ht="26.25">
      <c r="A8" s="37" t="s">
        <v>218</v>
      </c>
      <c r="B8" s="38">
        <f aca="true" t="shared" si="1" ref="B8:B15">SUM(C8:E8)</f>
        <v>1003837189432</v>
      </c>
      <c r="C8" s="38">
        <f>PL08_B02!G18+PL08_B02!G20+PL08_B02!G19+PL08_B02!G26+PL08_B02!G27+PL08_B02!G28+PL08_B02!G34+PL08_B02!G35+PL08_B02!G36+PL08_B02!G37+PL08_B02!G43+PL08_B02!G44+PL08_B02!G45+PL08_B02!G50+PL08_B02!G51+PL08_B02!G52+PL08_B02!G56+PL08_B02!G58</f>
        <v>776298167474</v>
      </c>
      <c r="D8" s="38">
        <f>PL08_B02!H18+PL08_B02!H20+PL08_B02!H19+PL08_B02!H26+PL08_B02!H27+PL08_B02!H28+PL08_B02!H34+PL08_B02!H35+PL08_B02!H36+PL08_B02!H37+PL08_B02!H43+PL08_B02!H44+PL08_B02!H45+PL08_B02!H50+PL08_B02!H51+PL08_B02!H52+PL08_B02!H56+PL08_B02!H58</f>
        <v>207270460400</v>
      </c>
      <c r="E8" s="38">
        <f>PL08_B02!I18+PL08_B02!I20+PL08_B02!I19+PL08_B02!I26+PL08_B02!I27+PL08_B02!I28+PL08_B02!I34+PL08_B02!I35+PL08_B02!I36+PL08_B02!I37+PL08_B02!I43+PL08_B02!I44+PL08_B02!I45+PL08_B02!I50+PL08_B02!I51+PL08_B02!I52+PL08_B02!I56+PL08_B02!I58</f>
        <v>20268561558</v>
      </c>
      <c r="F8" s="39" t="s">
        <v>219</v>
      </c>
      <c r="G8" s="38">
        <f t="shared" si="0"/>
        <v>2188880948382</v>
      </c>
      <c r="H8" s="38">
        <f>'PL08-B03'!F20</f>
        <v>1353412163305</v>
      </c>
      <c r="I8" s="38">
        <f>'PL08-B03'!G20</f>
        <v>621325609479</v>
      </c>
      <c r="J8" s="38">
        <f>'PL08-B03'!H20</f>
        <v>214143175598</v>
      </c>
    </row>
    <row r="9" spans="1:10" ht="39">
      <c r="A9" s="37" t="s">
        <v>220</v>
      </c>
      <c r="B9" s="38">
        <f t="shared" si="1"/>
        <v>228000000000</v>
      </c>
      <c r="C9" s="38">
        <f>PL08_B02!G102</f>
        <v>228000000000</v>
      </c>
      <c r="D9" s="38">
        <f>PL08_B02!H102</f>
        <v>0</v>
      </c>
      <c r="E9" s="38">
        <f>PL08_B02!I102</f>
        <v>0</v>
      </c>
      <c r="F9" s="40" t="s">
        <v>221</v>
      </c>
      <c r="G9" s="38">
        <f t="shared" si="0"/>
        <v>0</v>
      </c>
      <c r="H9" s="38"/>
      <c r="I9" s="41"/>
      <c r="J9" s="41"/>
    </row>
    <row r="10" spans="1:10" ht="26.25">
      <c r="A10" s="37" t="s">
        <v>465</v>
      </c>
      <c r="B10" s="38">
        <f t="shared" si="1"/>
        <v>199412541761</v>
      </c>
      <c r="C10" s="38">
        <f>PL08_B02!G100</f>
        <v>18276000000</v>
      </c>
      <c r="D10" s="38">
        <f>PL08_B02!H100</f>
        <v>135943742756</v>
      </c>
      <c r="E10" s="38">
        <f>PL08_B02!I100</f>
        <v>45192799005</v>
      </c>
      <c r="F10" s="42" t="s">
        <v>239</v>
      </c>
      <c r="G10" s="38">
        <f t="shared" si="0"/>
        <v>1000000000</v>
      </c>
      <c r="H10" s="38">
        <f>'PL08-B03'!F24</f>
        <v>1000000000</v>
      </c>
      <c r="I10" s="38">
        <f>'PL08-B03'!G24</f>
        <v>0</v>
      </c>
      <c r="J10" s="38">
        <f>'PL08-B03'!H24</f>
        <v>0</v>
      </c>
    </row>
    <row r="11" spans="1:10" ht="32.25" customHeight="1">
      <c r="A11" s="37" t="s">
        <v>466</v>
      </c>
      <c r="B11" s="38">
        <f t="shared" si="1"/>
        <v>985261958905</v>
      </c>
      <c r="C11" s="38">
        <f>PL08_B02!G101</f>
        <v>666247976194</v>
      </c>
      <c r="D11" s="38">
        <f>PL08_B02!H101</f>
        <v>240113856300</v>
      </c>
      <c r="E11" s="38">
        <f>PL08_B02!I101</f>
        <v>78900126411</v>
      </c>
      <c r="F11" s="39" t="s">
        <v>222</v>
      </c>
      <c r="G11" s="38">
        <f t="shared" si="0"/>
        <v>223455050000</v>
      </c>
      <c r="H11" s="38">
        <f>'PL08-B03'!F25</f>
        <v>223455050000</v>
      </c>
      <c r="I11" s="38">
        <f>'PL08-B03'!G25</f>
        <v>0</v>
      </c>
      <c r="J11" s="38">
        <f>'PL08-B03'!H25</f>
        <v>0</v>
      </c>
    </row>
    <row r="12" spans="1:10" ht="12.75">
      <c r="A12" s="37" t="s">
        <v>467</v>
      </c>
      <c r="B12" s="38">
        <f t="shared" si="1"/>
        <v>0</v>
      </c>
      <c r="C12" s="38"/>
      <c r="D12" s="38"/>
      <c r="E12" s="38"/>
      <c r="F12" s="39" t="s">
        <v>223</v>
      </c>
      <c r="G12" s="38">
        <f t="shared" si="0"/>
        <v>5062568969275</v>
      </c>
      <c r="H12" s="38">
        <f>'PL08-B03'!F26</f>
        <v>1539076621668</v>
      </c>
      <c r="I12" s="38">
        <f>'PL08-B03'!G26</f>
        <v>2710011267498</v>
      </c>
      <c r="J12" s="38">
        <f>'PL08-B03'!H26</f>
        <v>813481080109</v>
      </c>
    </row>
    <row r="13" spans="1:10" ht="26.25">
      <c r="A13" s="43" t="s">
        <v>468</v>
      </c>
      <c r="B13" s="38">
        <f>SUM(C13:E13)</f>
        <v>9713775660483</v>
      </c>
      <c r="C13" s="44">
        <f>C14+C15</f>
        <v>5420804877223</v>
      </c>
      <c r="D13" s="44">
        <f>D14+D15</f>
        <v>3525161965600</v>
      </c>
      <c r="E13" s="44">
        <f>E14+E15</f>
        <v>767808817660</v>
      </c>
      <c r="F13" s="39" t="s">
        <v>224</v>
      </c>
      <c r="G13" s="38">
        <f t="shared" si="0"/>
        <v>1000000000</v>
      </c>
      <c r="H13" s="38">
        <f>'PL08-B03'!F59</f>
        <v>1000000000</v>
      </c>
      <c r="I13" s="38">
        <f>'PL08-B03'!G59</f>
        <v>0</v>
      </c>
      <c r="J13" s="38">
        <f>'PL08-B03'!H59</f>
        <v>0</v>
      </c>
    </row>
    <row r="14" spans="1:10" ht="33" customHeight="1">
      <c r="A14" s="46" t="s">
        <v>226</v>
      </c>
      <c r="B14" s="38">
        <f>SUM(C14:E14)</f>
        <v>3591627870000</v>
      </c>
      <c r="C14" s="47">
        <f>PL08_B02!G116</f>
        <v>1900788000000</v>
      </c>
      <c r="D14" s="47">
        <f>PL08_B02!H116</f>
        <v>1391254000000</v>
      </c>
      <c r="E14" s="47">
        <f>PL08_B02!I116</f>
        <v>299585870000</v>
      </c>
      <c r="F14" s="45" t="s">
        <v>225</v>
      </c>
      <c r="G14" s="38">
        <f t="shared" si="0"/>
        <v>4292970783260</v>
      </c>
      <c r="H14" s="44">
        <f>'PL08-B03'!F69</f>
        <v>3525161965600</v>
      </c>
      <c r="I14" s="44">
        <f>'PL08-B03'!G69</f>
        <v>767808817660</v>
      </c>
      <c r="J14" s="44">
        <f>'PL08-B03'!H69</f>
        <v>0</v>
      </c>
    </row>
    <row r="15" spans="1:10" ht="26.25">
      <c r="A15" s="48" t="s">
        <v>238</v>
      </c>
      <c r="B15" s="38">
        <f t="shared" si="1"/>
        <v>6122147790483</v>
      </c>
      <c r="C15" s="47">
        <f>PL08_B02!G117</f>
        <v>3520016877223</v>
      </c>
      <c r="D15" s="47">
        <f>PL08_B02!H117</f>
        <v>2133907965600</v>
      </c>
      <c r="E15" s="47">
        <f>PL08_B02!I117</f>
        <v>468222947660</v>
      </c>
      <c r="F15" s="39" t="s">
        <v>227</v>
      </c>
      <c r="G15" s="38">
        <f t="shared" si="0"/>
        <v>1490927893816</v>
      </c>
      <c r="H15" s="38">
        <f>'PL08-B03'!F60</f>
        <v>1153340146787</v>
      </c>
      <c r="I15" s="38">
        <f>'PL08-B03'!G60</f>
        <v>222136279469</v>
      </c>
      <c r="J15" s="38">
        <f>'PL08-B03'!H60</f>
        <v>115451467560</v>
      </c>
    </row>
    <row r="16" spans="1:10" ht="26.25">
      <c r="A16" s="37" t="s">
        <v>469</v>
      </c>
      <c r="B16" s="38">
        <f>SUM(C16:E16)</f>
        <v>55464540634</v>
      </c>
      <c r="C16" s="38">
        <f>PL08_B02!G120</f>
        <v>49937894634</v>
      </c>
      <c r="D16" s="38">
        <f>PL08_B02!H120</f>
        <v>5526646000</v>
      </c>
      <c r="E16" s="38">
        <f>PL08_B02!I120</f>
        <v>0</v>
      </c>
      <c r="F16" s="39" t="s">
        <v>237</v>
      </c>
      <c r="G16" s="38">
        <f t="shared" si="0"/>
        <v>55464540634</v>
      </c>
      <c r="H16" s="47">
        <f>'PL08-B03'!F74</f>
        <v>0</v>
      </c>
      <c r="I16" s="47">
        <f>'PL08-B03'!G74</f>
        <v>49858013624</v>
      </c>
      <c r="J16" s="47">
        <f>'PL08-B03'!H74</f>
        <v>5606527010</v>
      </c>
    </row>
    <row r="17" spans="1:10" s="60" customFormat="1" ht="33" customHeight="1">
      <c r="A17" s="36" t="s">
        <v>228</v>
      </c>
      <c r="B17" s="34">
        <f>C17+D17+E17</f>
        <v>239049449329</v>
      </c>
      <c r="C17" s="34">
        <f>C5-H5</f>
        <v>37840896860</v>
      </c>
      <c r="D17" s="34">
        <f>D5-I5</f>
        <v>149030637110</v>
      </c>
      <c r="E17" s="34">
        <f>E5-J5</f>
        <v>52177915359</v>
      </c>
      <c r="F17" s="61"/>
      <c r="G17" s="38"/>
      <c r="H17" s="34"/>
      <c r="I17" s="62"/>
      <c r="J17" s="62"/>
    </row>
    <row r="18" spans="1:10" s="60" customFormat="1" ht="45" customHeight="1">
      <c r="A18" s="50" t="s">
        <v>229</v>
      </c>
      <c r="B18" s="51">
        <f>SUM(C18:E18)</f>
        <v>168631466711</v>
      </c>
      <c r="C18" s="51">
        <f>PL08_B02!G103</f>
        <v>57771156340</v>
      </c>
      <c r="D18" s="51">
        <f>PL08_B02!H103</f>
        <v>24281983500</v>
      </c>
      <c r="E18" s="51">
        <f>PL08_B02!I103</f>
        <v>86578326871</v>
      </c>
      <c r="F18" s="50" t="s">
        <v>230</v>
      </c>
      <c r="G18" s="51">
        <f t="shared" si="0"/>
        <v>167710820340</v>
      </c>
      <c r="H18" s="51">
        <f>'PL08-B03'!F64</f>
        <v>56850509969</v>
      </c>
      <c r="I18" s="51">
        <f>'PL08-B03'!G64</f>
        <v>24281983500</v>
      </c>
      <c r="J18" s="51">
        <f>'PL08-B03'!H64</f>
        <v>86578326871</v>
      </c>
    </row>
    <row r="19" spans="1:10" s="60" customFormat="1" ht="5.25" customHeight="1">
      <c r="A19" s="483"/>
      <c r="B19" s="484"/>
      <c r="C19" s="484"/>
      <c r="D19" s="484"/>
      <c r="E19" s="484"/>
      <c r="F19" s="485"/>
      <c r="G19" s="484"/>
      <c r="H19" s="484"/>
      <c r="I19" s="484"/>
      <c r="J19" s="484"/>
    </row>
    <row r="20" spans="1:10" ht="15" customHeight="1">
      <c r="A20" s="831" t="s">
        <v>714</v>
      </c>
      <c r="B20" s="831"/>
      <c r="C20" s="831"/>
      <c r="D20" s="831" t="s">
        <v>715</v>
      </c>
      <c r="E20" s="831"/>
      <c r="F20" s="831"/>
      <c r="G20" s="486"/>
      <c r="H20" s="831" t="s">
        <v>714</v>
      </c>
      <c r="I20" s="831"/>
      <c r="J20" s="831"/>
    </row>
    <row r="21" spans="1:10" ht="15">
      <c r="A21" s="832" t="s">
        <v>231</v>
      </c>
      <c r="B21" s="832"/>
      <c r="C21" s="487"/>
      <c r="D21" s="832" t="s">
        <v>208</v>
      </c>
      <c r="E21" s="832"/>
      <c r="F21" s="832"/>
      <c r="G21" s="488"/>
      <c r="H21" s="832" t="s">
        <v>232</v>
      </c>
      <c r="I21" s="832"/>
      <c r="J21" s="832"/>
    </row>
    <row r="22" spans="1:10" ht="15">
      <c r="A22" s="489"/>
      <c r="B22" s="490"/>
      <c r="C22" s="490"/>
      <c r="D22" s="491"/>
      <c r="E22" s="491"/>
      <c r="F22" s="492"/>
      <c r="G22" s="492"/>
      <c r="H22" s="830" t="s">
        <v>233</v>
      </c>
      <c r="I22" s="830"/>
      <c r="J22" s="830"/>
    </row>
    <row r="23" spans="1:10" ht="15">
      <c r="A23" s="489"/>
      <c r="B23" s="490"/>
      <c r="C23" s="490"/>
      <c r="D23" s="491"/>
      <c r="E23" s="491"/>
      <c r="F23" s="492"/>
      <c r="G23" s="492"/>
      <c r="H23" s="599"/>
      <c r="I23" s="599"/>
      <c r="J23" s="599"/>
    </row>
    <row r="24" spans="1:10" ht="15">
      <c r="A24" s="489"/>
      <c r="B24" s="490"/>
      <c r="C24" s="490"/>
      <c r="D24" s="491"/>
      <c r="E24" s="491"/>
      <c r="F24" s="492"/>
      <c r="G24" s="492"/>
      <c r="H24" s="599"/>
      <c r="I24" s="599"/>
      <c r="J24" s="599"/>
    </row>
    <row r="25" spans="1:10" ht="26.25">
      <c r="A25" s="489"/>
      <c r="B25" s="32" t="s">
        <v>145</v>
      </c>
      <c r="C25" s="32" t="s">
        <v>5</v>
      </c>
      <c r="D25" s="32" t="s">
        <v>6</v>
      </c>
      <c r="E25" s="32" t="s">
        <v>210</v>
      </c>
      <c r="F25" s="32" t="s">
        <v>211</v>
      </c>
      <c r="G25" s="32" t="s">
        <v>145</v>
      </c>
      <c r="H25" s="32" t="s">
        <v>234</v>
      </c>
      <c r="I25" s="32" t="s">
        <v>235</v>
      </c>
      <c r="J25" s="32" t="s">
        <v>236</v>
      </c>
    </row>
    <row r="26" spans="1:10" ht="12.75">
      <c r="A26" s="53"/>
      <c r="B26" s="155"/>
      <c r="C26" s="155"/>
      <c r="D26" s="155"/>
      <c r="E26" s="155"/>
      <c r="F26" s="155"/>
      <c r="G26" s="155"/>
      <c r="H26" s="53"/>
      <c r="I26" s="53"/>
      <c r="J26" s="54"/>
    </row>
    <row r="27" spans="1:10" ht="12.75">
      <c r="A27" s="600" t="s">
        <v>697</v>
      </c>
      <c r="B27" s="600">
        <f>C27+D27+E27</f>
        <v>13723028455036</v>
      </c>
      <c r="C27" s="601">
        <f>C5</f>
        <v>7891137354189</v>
      </c>
      <c r="D27" s="601">
        <f>D5</f>
        <v>4544452608340</v>
      </c>
      <c r="E27" s="601">
        <f>E5</f>
        <v>1287438492507</v>
      </c>
      <c r="F27" s="600" t="s">
        <v>694</v>
      </c>
      <c r="G27" s="600">
        <f>H27+I27+J27</f>
        <v>13483979005707</v>
      </c>
      <c r="H27" s="602">
        <f>'PL08-B03'!F75</f>
        <v>7853296457329</v>
      </c>
      <c r="I27" s="602">
        <f>'PL08-B03'!G75</f>
        <v>4395421971230</v>
      </c>
      <c r="J27" s="602">
        <f>'PL08-B03'!H75</f>
        <v>1235260577148</v>
      </c>
    </row>
    <row r="28" spans="1:10" ht="12.75">
      <c r="A28" s="603" t="s">
        <v>698</v>
      </c>
      <c r="B28" s="604">
        <f>C28+D28+E28</f>
        <v>4292970783260</v>
      </c>
      <c r="C28" s="610">
        <f>H14</f>
        <v>3525161965600</v>
      </c>
      <c r="D28" s="606">
        <f>I14</f>
        <v>767808817660</v>
      </c>
      <c r="E28" s="603">
        <f>J14</f>
        <v>0</v>
      </c>
      <c r="F28" s="603" t="s">
        <v>695</v>
      </c>
      <c r="G28" s="604">
        <f>H28+I28+J28</f>
        <v>4292970783260</v>
      </c>
      <c r="H28" s="607">
        <f>H14</f>
        <v>3525161965600</v>
      </c>
      <c r="I28" s="607">
        <f>I14</f>
        <v>767808817660</v>
      </c>
      <c r="J28" s="607">
        <f>J14</f>
        <v>0</v>
      </c>
    </row>
    <row r="29" spans="1:10" ht="12.75">
      <c r="A29" s="603" t="s">
        <v>699</v>
      </c>
      <c r="B29" s="603">
        <f>B27-B28</f>
        <v>9430057671776</v>
      </c>
      <c r="C29" s="603">
        <f>C27-C28</f>
        <v>4365975388589</v>
      </c>
      <c r="D29" s="603">
        <f>D27-D28</f>
        <v>3776643790680</v>
      </c>
      <c r="E29" s="603">
        <f>E27-E28</f>
        <v>1287438492507</v>
      </c>
      <c r="F29" s="603" t="s">
        <v>696</v>
      </c>
      <c r="G29" s="603">
        <f>G27-G28</f>
        <v>9191008222447</v>
      </c>
      <c r="H29" s="603">
        <f>H27-H28</f>
        <v>4328134491729</v>
      </c>
      <c r="I29" s="603">
        <f>I27-I28</f>
        <v>3627613153570</v>
      </c>
      <c r="J29" s="603">
        <f>J27-J28</f>
        <v>1235260577148</v>
      </c>
    </row>
    <row r="30" spans="1:10" s="303" customFormat="1" ht="12.75">
      <c r="A30" s="608" t="s">
        <v>693</v>
      </c>
      <c r="B30" s="609">
        <f>B29-G29</f>
        <v>239049449329</v>
      </c>
      <c r="C30" s="609"/>
      <c r="D30" s="609"/>
      <c r="E30" s="609"/>
      <c r="F30" s="609"/>
      <c r="G30" s="609"/>
      <c r="H30" s="609"/>
      <c r="I30" s="609"/>
      <c r="J30" s="608"/>
    </row>
    <row r="31" spans="1:10" s="303" customFormat="1" ht="12.75">
      <c r="A31" s="153"/>
      <c r="B31" s="155"/>
      <c r="C31" s="155"/>
      <c r="D31" s="155"/>
      <c r="E31" s="155"/>
      <c r="F31" s="155"/>
      <c r="G31" s="155"/>
      <c r="H31" s="155"/>
      <c r="I31" s="153"/>
      <c r="J31" s="153"/>
    </row>
    <row r="32" spans="1:10" ht="12.75">
      <c r="A32" s="54"/>
      <c r="B32" s="53"/>
      <c r="C32" s="53"/>
      <c r="D32" s="56"/>
      <c r="E32" s="53"/>
      <c r="F32" s="53"/>
      <c r="G32" s="53"/>
      <c r="H32" s="53"/>
      <c r="I32" s="54"/>
      <c r="J32" s="54"/>
    </row>
    <row r="33" spans="1:10" ht="12.75">
      <c r="A33" s="54"/>
      <c r="B33" s="53"/>
      <c r="C33" s="53"/>
      <c r="D33" s="53"/>
      <c r="E33" s="53"/>
      <c r="F33" s="53"/>
      <c r="G33" s="53"/>
      <c r="H33" s="53"/>
      <c r="I33" s="54"/>
      <c r="J33" s="54"/>
    </row>
    <row r="34" spans="1:10" ht="12.75">
      <c r="A34" s="54"/>
      <c r="B34" s="53"/>
      <c r="C34" s="53"/>
      <c r="D34" s="53"/>
      <c r="E34" s="53"/>
      <c r="F34" s="53"/>
      <c r="G34" s="53"/>
      <c r="H34" s="53"/>
      <c r="I34" s="54"/>
      <c r="J34" s="54"/>
    </row>
    <row r="35" spans="1:10" ht="14.25">
      <c r="A35" s="49"/>
      <c r="B35" s="55"/>
      <c r="C35" s="55"/>
      <c r="D35" s="55"/>
      <c r="E35" s="55"/>
      <c r="F35" s="55"/>
      <c r="G35" s="55"/>
      <c r="H35" s="55"/>
      <c r="I35" s="49"/>
      <c r="J35" s="49"/>
    </row>
    <row r="36" spans="1:10" ht="14.25">
      <c r="A36" s="49"/>
      <c r="B36" s="53"/>
      <c r="C36" s="53"/>
      <c r="D36" s="53"/>
      <c r="E36" s="53"/>
      <c r="F36" s="53"/>
      <c r="G36" s="53"/>
      <c r="H36" s="53"/>
      <c r="I36" s="49"/>
      <c r="J36" s="49"/>
    </row>
  </sheetData>
  <sheetProtection/>
  <mergeCells count="11">
    <mergeCell ref="H22:J22"/>
    <mergeCell ref="A20:C20"/>
    <mergeCell ref="D20:F20"/>
    <mergeCell ref="H20:J20"/>
    <mergeCell ref="A21:B21"/>
    <mergeCell ref="D21:F21"/>
    <mergeCell ref="H21:J21"/>
    <mergeCell ref="A1:B1"/>
    <mergeCell ref="I1:J1"/>
    <mergeCell ref="A2:J2"/>
    <mergeCell ref="I3:J3"/>
  </mergeCells>
  <printOptions/>
  <pageMargins left="0.22" right="0.2" top="0.38" bottom="0.22" header="0.24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7.57421875" style="0" customWidth="1"/>
    <col min="2" max="2" width="15.140625" style="0" customWidth="1"/>
    <col min="3" max="4" width="13.8515625" style="0" customWidth="1"/>
    <col min="5" max="5" width="13.57421875" style="0" customWidth="1"/>
    <col min="6" max="6" width="16.7109375" style="0" customWidth="1"/>
    <col min="7" max="7" width="14.7109375" style="0" customWidth="1"/>
    <col min="8" max="8" width="13.8515625" style="0" customWidth="1"/>
    <col min="9" max="9" width="14.00390625" style="0" customWidth="1"/>
    <col min="10" max="10" width="13.57421875" style="0" customWidth="1"/>
  </cols>
  <sheetData>
    <row r="1" spans="1:10" ht="31.5" customHeight="1">
      <c r="A1" s="786" t="s">
        <v>241</v>
      </c>
      <c r="B1" s="786"/>
      <c r="C1" s="31"/>
      <c r="D1" s="31"/>
      <c r="E1" s="31"/>
      <c r="F1" s="31"/>
      <c r="G1" s="31"/>
      <c r="H1" s="31"/>
      <c r="I1" s="827" t="s">
        <v>311</v>
      </c>
      <c r="J1" s="827"/>
    </row>
    <row r="2" spans="1:10" ht="17.25" customHeight="1">
      <c r="A2" s="828" t="s">
        <v>712</v>
      </c>
      <c r="B2" s="828"/>
      <c r="C2" s="828"/>
      <c r="D2" s="828"/>
      <c r="E2" s="828"/>
      <c r="F2" s="828"/>
      <c r="G2" s="828"/>
      <c r="H2" s="828"/>
      <c r="I2" s="828"/>
      <c r="J2" s="828"/>
    </row>
    <row r="3" spans="1:10" s="59" customFormat="1" ht="12">
      <c r="A3" s="63"/>
      <c r="B3" s="57"/>
      <c r="C3" s="57"/>
      <c r="D3" s="58"/>
      <c r="E3" s="58"/>
      <c r="F3" s="58"/>
      <c r="G3" s="58"/>
      <c r="H3" s="58"/>
      <c r="I3" s="829" t="s">
        <v>242</v>
      </c>
      <c r="J3" s="829"/>
    </row>
    <row r="4" spans="1:10" ht="26.25">
      <c r="A4" s="32" t="s">
        <v>209</v>
      </c>
      <c r="B4" s="32" t="s">
        <v>145</v>
      </c>
      <c r="C4" s="32" t="s">
        <v>5</v>
      </c>
      <c r="D4" s="32" t="s">
        <v>6</v>
      </c>
      <c r="E4" s="32" t="s">
        <v>210</v>
      </c>
      <c r="F4" s="32" t="s">
        <v>211</v>
      </c>
      <c r="G4" s="32" t="s">
        <v>145</v>
      </c>
      <c r="H4" s="32" t="s">
        <v>234</v>
      </c>
      <c r="I4" s="32" t="s">
        <v>235</v>
      </c>
      <c r="J4" s="32" t="s">
        <v>236</v>
      </c>
    </row>
    <row r="5" spans="1:10" ht="12.75">
      <c r="A5" s="33" t="s">
        <v>212</v>
      </c>
      <c r="B5" s="34">
        <f>B6+B18</f>
        <v>13723028455036</v>
      </c>
      <c r="C5" s="34">
        <f>C6+C18</f>
        <v>7891137354189</v>
      </c>
      <c r="D5" s="34">
        <f>D6+D18</f>
        <v>4544452608340</v>
      </c>
      <c r="E5" s="34">
        <f>E6+E18</f>
        <v>1287438492507</v>
      </c>
      <c r="F5" s="35" t="s">
        <v>213</v>
      </c>
      <c r="G5" s="34">
        <f>G6+G18</f>
        <v>13483979005707</v>
      </c>
      <c r="H5" s="34">
        <f>H6+H18</f>
        <v>7853296457329</v>
      </c>
      <c r="I5" s="34">
        <f>I6+I18</f>
        <v>4395421971230</v>
      </c>
      <c r="J5" s="34">
        <f>J6+J18</f>
        <v>1235260577148</v>
      </c>
    </row>
    <row r="6" spans="1:10" ht="22.5">
      <c r="A6" s="36" t="s">
        <v>214</v>
      </c>
      <c r="B6" s="34">
        <f>B7+B8+B9++B10+B11+B12+B13+B16</f>
        <v>13554396988325</v>
      </c>
      <c r="C6" s="34">
        <f>C7+C8+C9++C10+C11+C12+C13+C16</f>
        <v>7833366197849</v>
      </c>
      <c r="D6" s="34">
        <f>D7+D8+D9++D10+D11+D12+D13+D16</f>
        <v>4520170624840</v>
      </c>
      <c r="E6" s="34">
        <f>E7+E8+E9++E10+E11+E12+E13+E16</f>
        <v>1200860165636</v>
      </c>
      <c r="F6" s="36" t="s">
        <v>215</v>
      </c>
      <c r="G6" s="34">
        <f>H6+I6+J6</f>
        <v>13316268185367</v>
      </c>
      <c r="H6" s="34">
        <f>H7+H11+H12+H13+H14+H15+H16</f>
        <v>7796445947360</v>
      </c>
      <c r="I6" s="34">
        <f>I7+I11+I12+I13+I14+I15+I16</f>
        <v>4371139987730</v>
      </c>
      <c r="J6" s="34">
        <f>J7+J11+J12+J13+J14+J15+J16</f>
        <v>1148682250277</v>
      </c>
    </row>
    <row r="7" spans="1:10" ht="26.25">
      <c r="A7" s="37" t="s">
        <v>216</v>
      </c>
      <c r="B7" s="38">
        <f>SUM(C7:E7)</f>
        <v>1368645097110</v>
      </c>
      <c r="C7" s="38">
        <f>PL08_B02!G15-'Can doi'!C8+PL08_B02!G93</f>
        <v>673801282324</v>
      </c>
      <c r="D7" s="38">
        <f>PL08_B02!H15-'Can doi'!D8+PL08_B02!H93</f>
        <v>406153953784</v>
      </c>
      <c r="E7" s="38">
        <f>PL08_B02!I15-'Can doi'!E8+PL08_B02!I93</f>
        <v>288689861002</v>
      </c>
      <c r="F7" s="39" t="s">
        <v>217</v>
      </c>
      <c r="G7" s="38">
        <f aca="true" t="shared" si="0" ref="G7:G18">SUM(H7:J7)</f>
        <v>2189880948382</v>
      </c>
      <c r="H7" s="38">
        <f>H8+H9+H10</f>
        <v>1354412163305</v>
      </c>
      <c r="I7" s="38">
        <f>I8+I9+I10</f>
        <v>621325609479</v>
      </c>
      <c r="J7" s="38">
        <f>J8+J9+J10</f>
        <v>214143175598</v>
      </c>
    </row>
    <row r="8" spans="1:10" ht="26.25">
      <c r="A8" s="37" t="s">
        <v>218</v>
      </c>
      <c r="B8" s="38">
        <f aca="true" t="shared" si="1" ref="B8:B15">SUM(C8:E8)</f>
        <v>1003837189432</v>
      </c>
      <c r="C8" s="38">
        <f>PL08_B02!G18+PL08_B02!G20+PL08_B02!G19+PL08_B02!G26+PL08_B02!G27+PL08_B02!G28+PL08_B02!G34+PL08_B02!G35+PL08_B02!G36+PL08_B02!G37+PL08_B02!G43+PL08_B02!G44+PL08_B02!G45+PL08_B02!G50+PL08_B02!G51+PL08_B02!G52+PL08_B02!G56+PL08_B02!G58</f>
        <v>776298167474</v>
      </c>
      <c r="D8" s="38">
        <f>PL08_B02!H18+PL08_B02!H20+PL08_B02!H19+PL08_B02!H26+PL08_B02!H27+PL08_B02!H28+PL08_B02!H34+PL08_B02!H35+PL08_B02!H36+PL08_B02!H37+PL08_B02!H43+PL08_B02!H44+PL08_B02!H45+PL08_B02!H50+PL08_B02!H51+PL08_B02!H52+PL08_B02!H56+PL08_B02!H58</f>
        <v>207270460400</v>
      </c>
      <c r="E8" s="38">
        <f>PL08_B02!I18+PL08_B02!I20+PL08_B02!I19+PL08_B02!I26+PL08_B02!I27+PL08_B02!I28+PL08_B02!I34+PL08_B02!I35+PL08_B02!I36+PL08_B02!I37+PL08_B02!I43+PL08_B02!I44+PL08_B02!I45+PL08_B02!I50+PL08_B02!I51+PL08_B02!I52+PL08_B02!I56+PL08_B02!I58</f>
        <v>20268561558</v>
      </c>
      <c r="F8" s="39" t="s">
        <v>219</v>
      </c>
      <c r="G8" s="38">
        <f t="shared" si="0"/>
        <v>2188880948382</v>
      </c>
      <c r="H8" s="38">
        <f>'PL08-B03'!F20</f>
        <v>1353412163305</v>
      </c>
      <c r="I8" s="38">
        <f>'PL08-B03'!G20</f>
        <v>621325609479</v>
      </c>
      <c r="J8" s="38">
        <f>'PL08-B03'!H20</f>
        <v>214143175598</v>
      </c>
    </row>
    <row r="9" spans="1:10" ht="39">
      <c r="A9" s="37" t="s">
        <v>220</v>
      </c>
      <c r="B9" s="38">
        <f t="shared" si="1"/>
        <v>228000000000</v>
      </c>
      <c r="C9" s="38">
        <f>PL08_B02!G102</f>
        <v>228000000000</v>
      </c>
      <c r="D9" s="38">
        <f>PL08_B02!H102</f>
        <v>0</v>
      </c>
      <c r="E9" s="38">
        <f>PL08_B02!I102</f>
        <v>0</v>
      </c>
      <c r="F9" s="40" t="s">
        <v>221</v>
      </c>
      <c r="G9" s="38">
        <f t="shared" si="0"/>
        <v>0</v>
      </c>
      <c r="H9" s="38"/>
      <c r="I9" s="41"/>
      <c r="J9" s="41"/>
    </row>
    <row r="10" spans="1:10" ht="26.25">
      <c r="A10" s="37" t="s">
        <v>465</v>
      </c>
      <c r="B10" s="38">
        <f t="shared" si="1"/>
        <v>199412541761</v>
      </c>
      <c r="C10" s="38">
        <f>PL08_B02!G100</f>
        <v>18276000000</v>
      </c>
      <c r="D10" s="38">
        <f>PL08_B02!H100</f>
        <v>135943742756</v>
      </c>
      <c r="E10" s="38">
        <f>PL08_B02!I100</f>
        <v>45192799005</v>
      </c>
      <c r="F10" s="42" t="s">
        <v>239</v>
      </c>
      <c r="G10" s="38">
        <f t="shared" si="0"/>
        <v>1000000000</v>
      </c>
      <c r="H10" s="38">
        <f>'PL08-B03'!F24</f>
        <v>1000000000</v>
      </c>
      <c r="I10" s="38">
        <f>'PL08-B03'!G24</f>
        <v>0</v>
      </c>
      <c r="J10" s="38">
        <f>'PL08-B03'!H24</f>
        <v>0</v>
      </c>
    </row>
    <row r="11" spans="1:10" ht="32.25" customHeight="1">
      <c r="A11" s="37" t="s">
        <v>466</v>
      </c>
      <c r="B11" s="38">
        <f t="shared" si="1"/>
        <v>985261958905</v>
      </c>
      <c r="C11" s="38">
        <f>PL08_B02!G101</f>
        <v>666247976194</v>
      </c>
      <c r="D11" s="38">
        <f>PL08_B02!H101</f>
        <v>240113856300</v>
      </c>
      <c r="E11" s="38">
        <f>PL08_B02!I101</f>
        <v>78900126411</v>
      </c>
      <c r="F11" s="39" t="s">
        <v>222</v>
      </c>
      <c r="G11" s="38">
        <f t="shared" si="0"/>
        <v>223455050000</v>
      </c>
      <c r="H11" s="38">
        <f>'PL08-B03'!F25</f>
        <v>223455050000</v>
      </c>
      <c r="I11" s="38">
        <f>'PL08-B03'!G25</f>
        <v>0</v>
      </c>
      <c r="J11" s="38">
        <f>'PL08-B03'!H25</f>
        <v>0</v>
      </c>
    </row>
    <row r="12" spans="1:10" ht="12.75">
      <c r="A12" s="37" t="s">
        <v>467</v>
      </c>
      <c r="B12" s="38">
        <f t="shared" si="1"/>
        <v>0</v>
      </c>
      <c r="C12" s="38"/>
      <c r="D12" s="38"/>
      <c r="E12" s="38"/>
      <c r="F12" s="39" t="s">
        <v>223</v>
      </c>
      <c r="G12" s="38">
        <f t="shared" si="0"/>
        <v>5062568969275</v>
      </c>
      <c r="H12" s="38">
        <f>'PL08-B03'!F26</f>
        <v>1539076621668</v>
      </c>
      <c r="I12" s="38">
        <f>'PL08-B03'!G26</f>
        <v>2710011267498</v>
      </c>
      <c r="J12" s="38">
        <f>'PL08-B03'!H26</f>
        <v>813481080109</v>
      </c>
    </row>
    <row r="13" spans="1:10" ht="26.25">
      <c r="A13" s="43" t="s">
        <v>468</v>
      </c>
      <c r="B13" s="38">
        <f>SUM(C13:E13)</f>
        <v>9713775660483</v>
      </c>
      <c r="C13" s="44">
        <f>C14+C15</f>
        <v>5420804877223</v>
      </c>
      <c r="D13" s="44">
        <f>D14+D15</f>
        <v>3525161965600</v>
      </c>
      <c r="E13" s="44">
        <f>E14+E15</f>
        <v>767808817660</v>
      </c>
      <c r="F13" s="39" t="s">
        <v>224</v>
      </c>
      <c r="G13" s="38">
        <f t="shared" si="0"/>
        <v>1000000000</v>
      </c>
      <c r="H13" s="38">
        <f>'PL08-B03'!F59</f>
        <v>1000000000</v>
      </c>
      <c r="I13" s="38">
        <f>'PL08-B03'!G59</f>
        <v>0</v>
      </c>
      <c r="J13" s="38">
        <f>'PL08-B03'!H59</f>
        <v>0</v>
      </c>
    </row>
    <row r="14" spans="1:10" ht="33" customHeight="1">
      <c r="A14" s="46" t="s">
        <v>226</v>
      </c>
      <c r="B14" s="38">
        <f>SUM(C14:E14)</f>
        <v>3591627870000</v>
      </c>
      <c r="C14" s="47">
        <f>PL08_B02!G116</f>
        <v>1900788000000</v>
      </c>
      <c r="D14" s="47">
        <f>PL08_B02!H116</f>
        <v>1391254000000</v>
      </c>
      <c r="E14" s="47">
        <f>PL08_B02!I116</f>
        <v>299585870000</v>
      </c>
      <c r="F14" s="45" t="s">
        <v>225</v>
      </c>
      <c r="G14" s="38">
        <f t="shared" si="0"/>
        <v>4292970783260</v>
      </c>
      <c r="H14" s="44">
        <f>'PL08-B03'!F69</f>
        <v>3525161965600</v>
      </c>
      <c r="I14" s="44">
        <f>'PL08-B03'!G69</f>
        <v>767808817660</v>
      </c>
      <c r="J14" s="44">
        <f>'PL08-B03'!H69</f>
        <v>0</v>
      </c>
    </row>
    <row r="15" spans="1:10" ht="26.25">
      <c r="A15" s="48" t="s">
        <v>238</v>
      </c>
      <c r="B15" s="38">
        <f t="shared" si="1"/>
        <v>6122147790483</v>
      </c>
      <c r="C15" s="47">
        <f>PL08_B02!G117</f>
        <v>3520016877223</v>
      </c>
      <c r="D15" s="47">
        <f>PL08_B02!H117</f>
        <v>2133907965600</v>
      </c>
      <c r="E15" s="47">
        <f>PL08_B02!I117</f>
        <v>468222947660</v>
      </c>
      <c r="F15" s="39" t="s">
        <v>227</v>
      </c>
      <c r="G15" s="38">
        <f t="shared" si="0"/>
        <v>1490927893816</v>
      </c>
      <c r="H15" s="38">
        <f>'PL08-B03'!F60</f>
        <v>1153340146787</v>
      </c>
      <c r="I15" s="38">
        <f>'PL08-B03'!G60</f>
        <v>222136279469</v>
      </c>
      <c r="J15" s="38">
        <f>'PL08-B03'!H60</f>
        <v>115451467560</v>
      </c>
    </row>
    <row r="16" spans="1:10" ht="26.25">
      <c r="A16" s="37" t="s">
        <v>469</v>
      </c>
      <c r="B16" s="38">
        <f>SUM(C16:E16)</f>
        <v>55464540634</v>
      </c>
      <c r="C16" s="38">
        <f>PL08_B02!G120</f>
        <v>49937894634</v>
      </c>
      <c r="D16" s="38">
        <f>PL08_B02!H120</f>
        <v>5526646000</v>
      </c>
      <c r="E16" s="38">
        <f>PL08_B02!I120</f>
        <v>0</v>
      </c>
      <c r="F16" s="39" t="s">
        <v>237</v>
      </c>
      <c r="G16" s="38">
        <f t="shared" si="0"/>
        <v>55464540634</v>
      </c>
      <c r="H16" s="47">
        <f>'PL08-B03'!F74</f>
        <v>0</v>
      </c>
      <c r="I16" s="47">
        <f>'PL08-B03'!G74</f>
        <v>49858013624</v>
      </c>
      <c r="J16" s="47">
        <f>'PL08-B03'!H74</f>
        <v>5606527010</v>
      </c>
    </row>
    <row r="17" spans="1:10" s="60" customFormat="1" ht="37.5" customHeight="1">
      <c r="A17" s="36" t="s">
        <v>228</v>
      </c>
      <c r="B17" s="34">
        <f>C17+D17+E17</f>
        <v>239049449329</v>
      </c>
      <c r="C17" s="34">
        <f>C5-H5</f>
        <v>37840896860</v>
      </c>
      <c r="D17" s="34">
        <f>D5-I5</f>
        <v>149030637110</v>
      </c>
      <c r="E17" s="34">
        <f>E5-J5</f>
        <v>52177915359</v>
      </c>
      <c r="F17" s="61"/>
      <c r="G17" s="38"/>
      <c r="H17" s="34"/>
      <c r="I17" s="62"/>
      <c r="J17" s="62"/>
    </row>
    <row r="18" spans="1:10" s="60" customFormat="1" ht="45" customHeight="1">
      <c r="A18" s="50" t="s">
        <v>229</v>
      </c>
      <c r="B18" s="51">
        <f>SUM(C18:E18)</f>
        <v>168631466711</v>
      </c>
      <c r="C18" s="51">
        <f>PL08_B02!G103</f>
        <v>57771156340</v>
      </c>
      <c r="D18" s="51">
        <f>PL08_B02!H103</f>
        <v>24281983500</v>
      </c>
      <c r="E18" s="51">
        <f>PL08_B02!I103</f>
        <v>86578326871</v>
      </c>
      <c r="F18" s="50" t="s">
        <v>230</v>
      </c>
      <c r="G18" s="51">
        <f t="shared" si="0"/>
        <v>167710820340</v>
      </c>
      <c r="H18" s="51">
        <f>'PL08-B03'!F64</f>
        <v>56850509969</v>
      </c>
      <c r="I18" s="51">
        <f>'PL08-B03'!G64</f>
        <v>24281983500</v>
      </c>
      <c r="J18" s="51">
        <f>'PL08-B03'!H64</f>
        <v>86578326871</v>
      </c>
    </row>
    <row r="19" spans="1:10" s="60" customFormat="1" ht="5.25" customHeight="1">
      <c r="A19" s="483"/>
      <c r="B19" s="484"/>
      <c r="C19" s="484"/>
      <c r="D19" s="484"/>
      <c r="E19" s="484"/>
      <c r="F19" s="485"/>
      <c r="G19" s="484"/>
      <c r="H19" s="484"/>
      <c r="I19" s="484"/>
      <c r="J19" s="484"/>
    </row>
    <row r="20" spans="1:10" s="672" customFormat="1" ht="15" customHeight="1">
      <c r="A20" s="834" t="s">
        <v>725</v>
      </c>
      <c r="B20" s="834"/>
      <c r="C20" s="834"/>
      <c r="D20" s="834" t="s">
        <v>725</v>
      </c>
      <c r="E20" s="834"/>
      <c r="F20" s="834"/>
      <c r="G20" s="671"/>
      <c r="H20" s="834" t="s">
        <v>726</v>
      </c>
      <c r="I20" s="834"/>
      <c r="J20" s="834"/>
    </row>
    <row r="21" spans="1:10" s="672" customFormat="1" ht="15">
      <c r="A21" s="833" t="s">
        <v>231</v>
      </c>
      <c r="B21" s="833"/>
      <c r="C21" s="673"/>
      <c r="D21" s="833" t="s">
        <v>208</v>
      </c>
      <c r="E21" s="833"/>
      <c r="F21" s="833"/>
      <c r="G21" s="674"/>
      <c r="H21" s="833" t="s">
        <v>232</v>
      </c>
      <c r="I21" s="833"/>
      <c r="J21" s="833"/>
    </row>
    <row r="22" spans="1:10" s="672" customFormat="1" ht="15">
      <c r="A22" s="675"/>
      <c r="B22" s="676"/>
      <c r="C22" s="676"/>
      <c r="D22" s="677"/>
      <c r="E22" s="677"/>
      <c r="F22" s="678"/>
      <c r="G22" s="678"/>
      <c r="H22" s="835" t="s">
        <v>233</v>
      </c>
      <c r="I22" s="835"/>
      <c r="J22" s="835"/>
    </row>
    <row r="23" spans="1:10" s="672" customFormat="1" ht="15">
      <c r="A23" s="675"/>
      <c r="B23" s="676">
        <f>B5-G14</f>
        <v>9430057671776</v>
      </c>
      <c r="C23" s="676"/>
      <c r="D23" s="677"/>
      <c r="E23" s="677"/>
      <c r="F23" s="678"/>
      <c r="G23" s="678"/>
      <c r="H23" s="679"/>
      <c r="I23" s="679"/>
      <c r="J23" s="679"/>
    </row>
    <row r="24" spans="1:10" ht="15">
      <c r="A24" s="489"/>
      <c r="B24" s="490"/>
      <c r="C24" s="490"/>
      <c r="D24" s="491"/>
      <c r="E24" s="491"/>
      <c r="F24" s="492"/>
      <c r="G24" s="492"/>
      <c r="H24" s="599"/>
      <c r="I24" s="599"/>
      <c r="J24" s="599"/>
    </row>
    <row r="25" spans="1:10" ht="26.25">
      <c r="A25" s="489"/>
      <c r="B25" s="32" t="s">
        <v>145</v>
      </c>
      <c r="C25" s="32" t="s">
        <v>5</v>
      </c>
      <c r="D25" s="32" t="s">
        <v>6</v>
      </c>
      <c r="E25" s="32" t="s">
        <v>210</v>
      </c>
      <c r="F25" s="32" t="s">
        <v>211</v>
      </c>
      <c r="G25" s="32" t="s">
        <v>145</v>
      </c>
      <c r="H25" s="32" t="s">
        <v>234</v>
      </c>
      <c r="I25" s="32" t="s">
        <v>235</v>
      </c>
      <c r="J25" s="32" t="s">
        <v>236</v>
      </c>
    </row>
    <row r="26" spans="1:10" ht="12.75">
      <c r="A26" s="53"/>
      <c r="B26" s="155"/>
      <c r="C26" s="155"/>
      <c r="D26" s="155"/>
      <c r="E26" s="155"/>
      <c r="F26" s="155"/>
      <c r="G26" s="155"/>
      <c r="H26" s="53"/>
      <c r="I26" s="53"/>
      <c r="J26" s="54"/>
    </row>
    <row r="27" spans="1:10" ht="12.75">
      <c r="A27" s="600" t="s">
        <v>697</v>
      </c>
      <c r="B27" s="600">
        <f>C27+D27+E27</f>
        <v>13723028455036</v>
      </c>
      <c r="C27" s="601">
        <f>C5</f>
        <v>7891137354189</v>
      </c>
      <c r="D27" s="601">
        <f>D5</f>
        <v>4544452608340</v>
      </c>
      <c r="E27" s="601">
        <f>E5</f>
        <v>1287438492507</v>
      </c>
      <c r="F27" s="600" t="s">
        <v>694</v>
      </c>
      <c r="G27" s="600">
        <f>H27+I27+J27</f>
        <v>13483979005707</v>
      </c>
      <c r="H27" s="602">
        <f>'PL08-B03'!F75</f>
        <v>7853296457329</v>
      </c>
      <c r="I27" s="602">
        <f>'PL08-B03'!G75</f>
        <v>4395421971230</v>
      </c>
      <c r="J27" s="602">
        <f>'PL08-B03'!H75</f>
        <v>1235260577148</v>
      </c>
    </row>
    <row r="28" spans="1:10" ht="12.75">
      <c r="A28" s="603" t="s">
        <v>698</v>
      </c>
      <c r="B28" s="604">
        <f>C28+D28+E28</f>
        <v>4292970783260</v>
      </c>
      <c r="C28" s="605">
        <f>H14</f>
        <v>3525161965600</v>
      </c>
      <c r="D28" s="606">
        <f>I14</f>
        <v>767808817660</v>
      </c>
      <c r="E28" s="603">
        <f>J14</f>
        <v>0</v>
      </c>
      <c r="F28" s="603" t="s">
        <v>695</v>
      </c>
      <c r="G28" s="604">
        <f>H28+I28+J28</f>
        <v>4292970783260</v>
      </c>
      <c r="H28" s="607">
        <f>H14</f>
        <v>3525161965600</v>
      </c>
      <c r="I28" s="607">
        <f>I14</f>
        <v>767808817660</v>
      </c>
      <c r="J28" s="607">
        <f>J14</f>
        <v>0</v>
      </c>
    </row>
    <row r="29" spans="1:10" ht="12.75">
      <c r="A29" s="603" t="s">
        <v>699</v>
      </c>
      <c r="B29" s="603">
        <f>B27-B28</f>
        <v>9430057671776</v>
      </c>
      <c r="C29" s="603">
        <f>C27-C28</f>
        <v>4365975388589</v>
      </c>
      <c r="D29" s="603">
        <f>D27-D28</f>
        <v>3776643790680</v>
      </c>
      <c r="E29" s="603">
        <f>E27-E28</f>
        <v>1287438492507</v>
      </c>
      <c r="F29" s="603" t="s">
        <v>696</v>
      </c>
      <c r="G29" s="603">
        <f>G27-G28</f>
        <v>9191008222447</v>
      </c>
      <c r="H29" s="603">
        <f>H27-H28</f>
        <v>4328134491729</v>
      </c>
      <c r="I29" s="603">
        <f>I27-I28</f>
        <v>3627613153570</v>
      </c>
      <c r="J29" s="603">
        <f>J27-J28</f>
        <v>1235260577148</v>
      </c>
    </row>
    <row r="30" spans="1:10" s="303" customFormat="1" ht="12.75">
      <c r="A30" s="608" t="s">
        <v>693</v>
      </c>
      <c r="B30" s="609">
        <f>B29-G29</f>
        <v>239049449329</v>
      </c>
      <c r="C30" s="609"/>
      <c r="D30" s="609"/>
      <c r="E30" s="609"/>
      <c r="F30" s="609"/>
      <c r="G30" s="609"/>
      <c r="H30" s="609"/>
      <c r="I30" s="609"/>
      <c r="J30" s="608"/>
    </row>
    <row r="31" spans="1:10" s="303" customFormat="1" ht="12.75">
      <c r="A31" s="153"/>
      <c r="B31" s="155"/>
      <c r="C31" s="155"/>
      <c r="D31" s="155"/>
      <c r="E31" s="155"/>
      <c r="F31" s="155"/>
      <c r="G31" s="155"/>
      <c r="H31" s="155"/>
      <c r="I31" s="153"/>
      <c r="J31" s="153"/>
    </row>
    <row r="32" spans="1:10" ht="12.75">
      <c r="A32" s="54"/>
      <c r="B32" s="53"/>
      <c r="C32" s="53"/>
      <c r="D32" s="56"/>
      <c r="E32" s="53"/>
      <c r="F32" s="53"/>
      <c r="G32" s="53"/>
      <c r="H32" s="53"/>
      <c r="I32" s="54"/>
      <c r="J32" s="54"/>
    </row>
    <row r="33" spans="1:10" ht="12.75">
      <c r="A33" s="54"/>
      <c r="B33" s="53"/>
      <c r="C33" s="53"/>
      <c r="D33" s="53"/>
      <c r="E33" s="53"/>
      <c r="F33" s="53"/>
      <c r="G33" s="53"/>
      <c r="H33" s="53"/>
      <c r="I33" s="54"/>
      <c r="J33" s="54"/>
    </row>
    <row r="34" spans="1:10" ht="12.75">
      <c r="A34" s="54"/>
      <c r="B34" s="53"/>
      <c r="C34" s="53"/>
      <c r="D34" s="53"/>
      <c r="E34" s="53"/>
      <c r="F34" s="53"/>
      <c r="G34" s="53"/>
      <c r="H34" s="53"/>
      <c r="I34" s="54"/>
      <c r="J34" s="54"/>
    </row>
    <row r="35" spans="1:10" ht="14.25">
      <c r="A35" s="49"/>
      <c r="B35" s="55"/>
      <c r="C35" s="55"/>
      <c r="D35" s="55"/>
      <c r="E35" s="55"/>
      <c r="F35" s="55"/>
      <c r="G35" s="55"/>
      <c r="H35" s="55"/>
      <c r="I35" s="49"/>
      <c r="J35" s="49"/>
    </row>
    <row r="36" spans="1:10" ht="14.25">
      <c r="A36" s="49"/>
      <c r="B36" s="53"/>
      <c r="C36" s="53"/>
      <c r="D36" s="53"/>
      <c r="E36" s="53"/>
      <c r="F36" s="53"/>
      <c r="G36" s="53"/>
      <c r="H36" s="53"/>
      <c r="I36" s="49"/>
      <c r="J36" s="49"/>
    </row>
  </sheetData>
  <sheetProtection/>
  <mergeCells count="11">
    <mergeCell ref="H22:J22"/>
    <mergeCell ref="A2:J2"/>
    <mergeCell ref="A1:B1"/>
    <mergeCell ref="I1:J1"/>
    <mergeCell ref="I3:J3"/>
    <mergeCell ref="A21:B21"/>
    <mergeCell ref="D20:F20"/>
    <mergeCell ref="D21:F21"/>
    <mergeCell ref="H20:J20"/>
    <mergeCell ref="A20:C20"/>
    <mergeCell ref="H21:J21"/>
  </mergeCells>
  <printOptions/>
  <pageMargins left="0.18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2">
      <selection activeCell="E23" sqref="E23"/>
    </sheetView>
  </sheetViews>
  <sheetFormatPr defaultColWidth="9.140625" defaultRowHeight="12.75"/>
  <cols>
    <col min="1" max="1" width="5.8515625" style="0" customWidth="1"/>
    <col min="2" max="2" width="37.57421875" style="0" customWidth="1"/>
    <col min="3" max="3" width="16.421875" style="0" customWidth="1"/>
    <col min="4" max="4" width="15.8515625" style="0" customWidth="1"/>
    <col min="5" max="5" width="16.57421875" style="0" customWidth="1"/>
    <col min="6" max="6" width="0.13671875" style="0" hidden="1" customWidth="1"/>
    <col min="7" max="7" width="9.140625" style="0" hidden="1" customWidth="1"/>
    <col min="8" max="8" width="6.28125" style="0" customWidth="1"/>
    <col min="9" max="9" width="7.00390625" style="0" customWidth="1"/>
    <col min="10" max="10" width="19.57421875" style="0" bestFit="1" customWidth="1"/>
  </cols>
  <sheetData>
    <row r="1" spans="1:11" ht="34.5" customHeight="1">
      <c r="A1" s="837" t="s">
        <v>241</v>
      </c>
      <c r="B1" s="837"/>
      <c r="C1" s="837"/>
      <c r="D1" s="93"/>
      <c r="E1" s="840" t="s">
        <v>263</v>
      </c>
      <c r="F1" s="840"/>
      <c r="G1" s="840"/>
      <c r="H1" s="840"/>
      <c r="I1" s="840"/>
      <c r="J1" s="96"/>
      <c r="K1" s="49"/>
    </row>
    <row r="2" spans="1:11" ht="15">
      <c r="A2" s="92"/>
      <c r="B2" s="93"/>
      <c r="C2" s="93"/>
      <c r="D2" s="93"/>
      <c r="E2" s="93"/>
      <c r="F2" s="95"/>
      <c r="G2" s="95"/>
      <c r="H2" s="95"/>
      <c r="I2" s="95"/>
      <c r="J2" s="96"/>
      <c r="K2" s="49"/>
    </row>
    <row r="3" spans="1:11" ht="15">
      <c r="A3" s="97" t="s">
        <v>720</v>
      </c>
      <c r="B3" s="98"/>
      <c r="C3" s="93"/>
      <c r="D3" s="93"/>
      <c r="E3" s="93"/>
      <c r="F3" s="93"/>
      <c r="G3" s="93"/>
      <c r="H3" s="93"/>
      <c r="I3" s="93"/>
      <c r="J3" s="96"/>
      <c r="K3" s="49"/>
    </row>
    <row r="4" spans="1:11" ht="15">
      <c r="A4" s="94" t="s">
        <v>264</v>
      </c>
      <c r="B4" s="98"/>
      <c r="C4" s="93"/>
      <c r="D4" s="93"/>
      <c r="E4" s="93"/>
      <c r="F4" s="93"/>
      <c r="G4" s="93"/>
      <c r="H4" s="93"/>
      <c r="I4" s="93"/>
      <c r="J4" s="96"/>
      <c r="K4" s="49"/>
    </row>
    <row r="5" spans="1:11" ht="15">
      <c r="A5" s="99"/>
      <c r="B5" s="100"/>
      <c r="C5" s="100"/>
      <c r="D5" s="100"/>
      <c r="E5" s="841" t="s">
        <v>287</v>
      </c>
      <c r="F5" s="841"/>
      <c r="G5" s="841"/>
      <c r="H5" s="841"/>
      <c r="I5" s="841"/>
      <c r="J5" s="96"/>
      <c r="K5" s="49"/>
    </row>
    <row r="6" spans="1:11" ht="15">
      <c r="A6" s="838" t="s">
        <v>12</v>
      </c>
      <c r="B6" s="836" t="s">
        <v>0</v>
      </c>
      <c r="C6" s="102" t="s">
        <v>266</v>
      </c>
      <c r="D6" s="102"/>
      <c r="E6" s="836" t="s">
        <v>243</v>
      </c>
      <c r="F6" s="103"/>
      <c r="G6" s="103"/>
      <c r="H6" s="836" t="s">
        <v>267</v>
      </c>
      <c r="I6" s="836"/>
      <c r="J6" s="104"/>
      <c r="K6" s="49"/>
    </row>
    <row r="7" spans="1:11" ht="26.25">
      <c r="A7" s="839"/>
      <c r="B7" s="836"/>
      <c r="C7" s="101" t="s">
        <v>1</v>
      </c>
      <c r="D7" s="101" t="s">
        <v>2</v>
      </c>
      <c r="E7" s="836"/>
      <c r="F7" s="105" t="s">
        <v>253</v>
      </c>
      <c r="G7" s="105" t="s">
        <v>265</v>
      </c>
      <c r="H7" s="106" t="s">
        <v>253</v>
      </c>
      <c r="I7" s="106" t="s">
        <v>265</v>
      </c>
      <c r="J7" s="107"/>
      <c r="K7" s="49"/>
    </row>
    <row r="8" spans="1:11" ht="15">
      <c r="A8" s="108" t="s">
        <v>13</v>
      </c>
      <c r="B8" s="108" t="s">
        <v>14</v>
      </c>
      <c r="C8" s="108">
        <v>1</v>
      </c>
      <c r="D8" s="108">
        <v>2</v>
      </c>
      <c r="E8" s="109">
        <v>3</v>
      </c>
      <c r="F8" s="109">
        <v>3</v>
      </c>
      <c r="G8" s="108" t="s">
        <v>254</v>
      </c>
      <c r="H8" s="108" t="s">
        <v>255</v>
      </c>
      <c r="I8" s="108" t="s">
        <v>256</v>
      </c>
      <c r="J8" s="110"/>
      <c r="K8" s="49"/>
    </row>
    <row r="9" spans="1:11" ht="21">
      <c r="A9" s="111" t="s">
        <v>13</v>
      </c>
      <c r="B9" s="112" t="s">
        <v>268</v>
      </c>
      <c r="C9" s="113">
        <f>SUM(C10:C14)</f>
        <v>1995000000000</v>
      </c>
      <c r="D9" s="113">
        <f>SUM(D10:D14)</f>
        <v>2500000000000</v>
      </c>
      <c r="E9" s="113">
        <f>SUM(E10:E14)</f>
        <v>2784728294709</v>
      </c>
      <c r="F9" s="114"/>
      <c r="G9" s="114"/>
      <c r="H9" s="115">
        <f>E9/C9</f>
        <v>1.3958537818090226</v>
      </c>
      <c r="I9" s="115">
        <f>E9/D9</f>
        <v>1.1138913178836</v>
      </c>
      <c r="J9" s="116"/>
      <c r="K9" s="49"/>
    </row>
    <row r="10" spans="1:11" ht="14.25" customHeight="1">
      <c r="A10" s="117">
        <v>1</v>
      </c>
      <c r="B10" s="118" t="s">
        <v>269</v>
      </c>
      <c r="C10" s="119">
        <f>PL08_B02!C15</f>
        <v>1605000000000</v>
      </c>
      <c r="D10" s="119">
        <f>PL08_B02!D15</f>
        <v>1810000000000</v>
      </c>
      <c r="E10" s="119">
        <f>PL08_B02!E15</f>
        <v>2426369394110</v>
      </c>
      <c r="F10" s="119"/>
      <c r="G10" s="119"/>
      <c r="H10" s="115">
        <f aca="true" t="shared" si="0" ref="H10:H33">E10/C10</f>
        <v>1.5117566318442368</v>
      </c>
      <c r="I10" s="115">
        <f aca="true" t="shared" si="1" ref="I10:I33">E10/D10</f>
        <v>1.3405355768563536</v>
      </c>
      <c r="J10" s="116"/>
      <c r="K10" s="49"/>
    </row>
    <row r="11" spans="1:11" ht="14.25" customHeight="1">
      <c r="A11" s="117">
        <v>2</v>
      </c>
      <c r="B11" s="118" t="s">
        <v>270</v>
      </c>
      <c r="C11" s="119"/>
      <c r="D11" s="119"/>
      <c r="E11" s="119"/>
      <c r="F11" s="119"/>
      <c r="G11" s="119"/>
      <c r="H11" s="115"/>
      <c r="I11" s="115"/>
      <c r="J11" s="116"/>
      <c r="K11" s="49"/>
    </row>
    <row r="12" spans="1:11" ht="14.25" customHeight="1">
      <c r="A12" s="117">
        <v>3</v>
      </c>
      <c r="B12" s="118" t="s">
        <v>271</v>
      </c>
      <c r="C12" s="119">
        <f>PL08_B02!C93</f>
        <v>390000000000</v>
      </c>
      <c r="D12" s="119">
        <f>PL08_B02!D93</f>
        <v>390000000000</v>
      </c>
      <c r="E12" s="119">
        <f>PL08_B02!E93</f>
        <v>189727433888</v>
      </c>
      <c r="F12" s="119"/>
      <c r="G12" s="119"/>
      <c r="H12" s="115">
        <f t="shared" si="0"/>
        <v>0.48648059971282054</v>
      </c>
      <c r="I12" s="115">
        <f t="shared" si="1"/>
        <v>0.48648059971282054</v>
      </c>
      <c r="J12" s="116"/>
      <c r="K12" s="49"/>
    </row>
    <row r="13" spans="1:11" ht="14.25" customHeight="1">
      <c r="A13" s="117">
        <v>4</v>
      </c>
      <c r="B13" s="118" t="s">
        <v>272</v>
      </c>
      <c r="C13" s="119"/>
      <c r="D13" s="119"/>
      <c r="E13" s="119"/>
      <c r="F13" s="119"/>
      <c r="G13" s="119"/>
      <c r="H13" s="115"/>
      <c r="I13" s="115"/>
      <c r="J13" s="116"/>
      <c r="K13" s="49"/>
    </row>
    <row r="14" spans="1:11" ht="14.25" customHeight="1">
      <c r="A14" s="117">
        <v>5</v>
      </c>
      <c r="B14" s="118" t="s">
        <v>304</v>
      </c>
      <c r="C14" s="119">
        <f>PL08_B02!C103</f>
        <v>0</v>
      </c>
      <c r="D14" s="119">
        <f>PL08_B02!D103</f>
        <v>300000000000</v>
      </c>
      <c r="E14" s="119">
        <f>PL08_B02!E103</f>
        <v>168631466711</v>
      </c>
      <c r="F14" s="119"/>
      <c r="G14" s="119"/>
      <c r="H14" s="115"/>
      <c r="I14" s="115">
        <f t="shared" si="1"/>
        <v>0.5621048890366667</v>
      </c>
      <c r="J14" s="116"/>
      <c r="K14" s="49"/>
    </row>
    <row r="15" spans="1:11" ht="21.75" customHeight="1">
      <c r="A15" s="121" t="s">
        <v>14</v>
      </c>
      <c r="B15" s="122" t="s">
        <v>273</v>
      </c>
      <c r="C15" s="123">
        <f>C16+C19+C23+C24+C25+C26+C27</f>
        <v>6193324000000</v>
      </c>
      <c r="D15" s="123">
        <f>D16+D19+D23+D24+D25+D26+D27</f>
        <v>6777324000000</v>
      </c>
      <c r="E15" s="123">
        <f>E16+E19+E23+E24+E25+E26+E27</f>
        <v>9430057671776</v>
      </c>
      <c r="F15" s="123"/>
      <c r="G15" s="123"/>
      <c r="H15" s="115">
        <f t="shared" si="0"/>
        <v>1.5226165580512177</v>
      </c>
      <c r="I15" s="115">
        <f t="shared" si="1"/>
        <v>1.3914131406106598</v>
      </c>
      <c r="J15" s="131">
        <f>'Can doi'!B5-'Can doi'!D13-'Can doi'!E13</f>
        <v>9430057671776</v>
      </c>
      <c r="K15" s="49"/>
    </row>
    <row r="16" spans="1:11" ht="15">
      <c r="A16" s="117">
        <v>1</v>
      </c>
      <c r="B16" s="118" t="s">
        <v>274</v>
      </c>
      <c r="C16" s="680">
        <v>1569500000000</v>
      </c>
      <c r="D16" s="680">
        <v>1773500000000</v>
      </c>
      <c r="E16" s="119">
        <f>E17+E18</f>
        <v>2372482286542</v>
      </c>
      <c r="F16" s="119"/>
      <c r="G16" s="119"/>
      <c r="H16" s="115">
        <f t="shared" si="0"/>
        <v>1.5116166209251354</v>
      </c>
      <c r="I16" s="115">
        <f t="shared" si="1"/>
        <v>1.3377402235928955</v>
      </c>
      <c r="J16" s="124">
        <f>E15-J15</f>
        <v>0</v>
      </c>
      <c r="K16" s="49"/>
    </row>
    <row r="17" spans="1:11" ht="15">
      <c r="A17" s="125" t="s">
        <v>22</v>
      </c>
      <c r="B17" s="126" t="s">
        <v>275</v>
      </c>
      <c r="C17" s="127">
        <f>C16-C18</f>
        <v>658810000000</v>
      </c>
      <c r="D17" s="127">
        <f>D16-D18</f>
        <v>862810000000</v>
      </c>
      <c r="E17" s="127">
        <f>'Can doi'!B7</f>
        <v>1368645097110</v>
      </c>
      <c r="F17" s="128"/>
      <c r="G17" s="128"/>
      <c r="H17" s="115">
        <f t="shared" si="0"/>
        <v>2.0774503986126502</v>
      </c>
      <c r="I17" s="115">
        <f t="shared" si="1"/>
        <v>1.5862647594603678</v>
      </c>
      <c r="J17" s="124">
        <f>'Can doi'!B7+'Can doi'!B8</f>
        <v>2372482286542</v>
      </c>
      <c r="K17" s="49"/>
    </row>
    <row r="18" spans="1:11" ht="24.75" customHeight="1">
      <c r="A18" s="125" t="s">
        <v>37</v>
      </c>
      <c r="B18" s="126" t="s">
        <v>276</v>
      </c>
      <c r="C18" s="127">
        <f>D18</f>
        <v>910690000000</v>
      </c>
      <c r="D18" s="127">
        <f>'Sac Thue'!B13+'Sac Thue'!B20+'Sac Thue'!B23+'Sac Thue'!B15+'Sac Thue'!B29</f>
        <v>910690000000</v>
      </c>
      <c r="E18" s="127">
        <f>'Can doi'!B8</f>
        <v>1003837189432</v>
      </c>
      <c r="F18" s="128"/>
      <c r="G18" s="128"/>
      <c r="H18" s="115">
        <f t="shared" si="0"/>
        <v>1.1022819943471434</v>
      </c>
      <c r="I18" s="115">
        <f t="shared" si="1"/>
        <v>1.1022819943471434</v>
      </c>
      <c r="J18" s="124"/>
      <c r="K18" s="49"/>
    </row>
    <row r="19" spans="1:11" ht="15">
      <c r="A19" s="125">
        <v>2</v>
      </c>
      <c r="B19" s="118" t="s">
        <v>277</v>
      </c>
      <c r="C19" s="119">
        <f>C20+C21</f>
        <v>4623824000000</v>
      </c>
      <c r="D19" s="119">
        <f>D20+D21</f>
        <v>4623824000000</v>
      </c>
      <c r="E19" s="119">
        <f>E20+E21</f>
        <v>5420804877223</v>
      </c>
      <c r="F19" s="128"/>
      <c r="G19" s="128"/>
      <c r="H19" s="115">
        <f t="shared" si="0"/>
        <v>1.1723640167149527</v>
      </c>
      <c r="I19" s="115">
        <f t="shared" si="1"/>
        <v>1.1723640167149527</v>
      </c>
      <c r="J19" s="124">
        <f>'Can doi'!C13</f>
        <v>5420804877223</v>
      </c>
      <c r="K19" s="49"/>
    </row>
    <row r="20" spans="1:11" ht="15">
      <c r="A20" s="125" t="s">
        <v>49</v>
      </c>
      <c r="B20" s="118" t="s">
        <v>135</v>
      </c>
      <c r="C20" s="129">
        <f>PL08_B02!C116</f>
        <v>1900788000000</v>
      </c>
      <c r="D20" s="129">
        <f>PL08_B02!D116</f>
        <v>1900788000000</v>
      </c>
      <c r="E20" s="129">
        <f>PL08_B02!G116</f>
        <v>1900788000000</v>
      </c>
      <c r="F20" s="128"/>
      <c r="G20" s="128"/>
      <c r="H20" s="115">
        <f t="shared" si="0"/>
        <v>1</v>
      </c>
      <c r="I20" s="115">
        <f t="shared" si="1"/>
        <v>1</v>
      </c>
      <c r="J20" s="124" t="s">
        <v>449</v>
      </c>
      <c r="K20" s="49"/>
    </row>
    <row r="21" spans="1:11" ht="15">
      <c r="A21" s="125" t="s">
        <v>50</v>
      </c>
      <c r="B21" s="118" t="s">
        <v>136</v>
      </c>
      <c r="C21" s="129">
        <f>PL08_B02!C117</f>
        <v>2723036000000</v>
      </c>
      <c r="D21" s="129">
        <f>PL08_B02!D117</f>
        <v>2723036000000</v>
      </c>
      <c r="E21" s="129">
        <f>PL08_B02!G117</f>
        <v>3520016877223</v>
      </c>
      <c r="F21" s="128"/>
      <c r="G21" s="128"/>
      <c r="H21" s="115">
        <f t="shared" si="0"/>
        <v>1.292680991813182</v>
      </c>
      <c r="I21" s="115">
        <f t="shared" si="1"/>
        <v>1.292680991813182</v>
      </c>
      <c r="J21" s="124"/>
      <c r="K21" s="49"/>
    </row>
    <row r="22" spans="1:11" ht="15">
      <c r="A22" s="125"/>
      <c r="B22" s="130" t="s">
        <v>278</v>
      </c>
      <c r="C22" s="129"/>
      <c r="D22" s="129"/>
      <c r="E22" s="129">
        <f>PL08_B02!E119</f>
        <v>251356877223</v>
      </c>
      <c r="F22" s="128"/>
      <c r="G22" s="128"/>
      <c r="H22" s="115"/>
      <c r="I22" s="115"/>
      <c r="J22" s="124"/>
      <c r="K22" s="49"/>
    </row>
    <row r="23" spans="1:11" ht="15">
      <c r="A23" s="125">
        <v>3</v>
      </c>
      <c r="B23" s="118" t="s">
        <v>279</v>
      </c>
      <c r="C23" s="129">
        <v>0</v>
      </c>
      <c r="D23" s="129"/>
      <c r="E23" s="129">
        <f>PL08_B02!E101</f>
        <v>985261958905</v>
      </c>
      <c r="F23" s="128"/>
      <c r="G23" s="128"/>
      <c r="H23" s="115"/>
      <c r="I23" s="115"/>
      <c r="J23" s="124"/>
      <c r="K23" s="49"/>
    </row>
    <row r="24" spans="1:11" ht="26.25">
      <c r="A24" s="117">
        <v>4</v>
      </c>
      <c r="B24" s="118" t="s">
        <v>280</v>
      </c>
      <c r="C24" s="119">
        <f>PL08_B02!C102</f>
        <v>0</v>
      </c>
      <c r="D24" s="119">
        <f>PL08_B02!D102</f>
        <v>80000000000</v>
      </c>
      <c r="E24" s="119">
        <f>PL08_B02!E102</f>
        <v>228000000000</v>
      </c>
      <c r="F24" s="119"/>
      <c r="G24" s="119"/>
      <c r="H24" s="115"/>
      <c r="I24" s="115">
        <f t="shared" si="1"/>
        <v>2.85</v>
      </c>
      <c r="J24" s="131"/>
      <c r="K24" s="49"/>
    </row>
    <row r="25" spans="1:11" ht="15">
      <c r="A25" s="159">
        <v>5</v>
      </c>
      <c r="B25" s="160" t="s">
        <v>120</v>
      </c>
      <c r="C25" s="119"/>
      <c r="D25" s="119"/>
      <c r="E25" s="119">
        <f>PL08_B02!E100</f>
        <v>199412541761</v>
      </c>
      <c r="F25" s="119"/>
      <c r="G25" s="119"/>
      <c r="H25" s="115"/>
      <c r="I25" s="115"/>
      <c r="J25" s="131"/>
      <c r="K25" s="49"/>
    </row>
    <row r="26" spans="1:11" ht="15">
      <c r="A26" s="117">
        <v>6</v>
      </c>
      <c r="B26" s="118" t="s">
        <v>305</v>
      </c>
      <c r="C26" s="119">
        <v>0</v>
      </c>
      <c r="D26" s="119"/>
      <c r="E26" s="119">
        <f>'Can doi'!B16</f>
        <v>55464540634</v>
      </c>
      <c r="F26" s="119"/>
      <c r="G26" s="119"/>
      <c r="H26" s="115"/>
      <c r="I26" s="115"/>
      <c r="J26" s="131"/>
      <c r="K26" s="49"/>
    </row>
    <row r="27" spans="1:11" ht="21">
      <c r="A27" s="125">
        <v>7</v>
      </c>
      <c r="B27" s="118" t="s">
        <v>304</v>
      </c>
      <c r="C27" s="119">
        <f>PL08_B02!C103</f>
        <v>0</v>
      </c>
      <c r="D27" s="119">
        <f>PL08_B02!D103</f>
        <v>300000000000</v>
      </c>
      <c r="E27" s="119">
        <f>PL08_B02!E103</f>
        <v>168631466711</v>
      </c>
      <c r="F27" s="119"/>
      <c r="G27" s="119"/>
      <c r="H27" s="115"/>
      <c r="I27" s="115">
        <f t="shared" si="1"/>
        <v>0.5621048890366667</v>
      </c>
      <c r="J27" s="116"/>
      <c r="K27" s="49"/>
    </row>
    <row r="28" spans="1:11" ht="15">
      <c r="A28" s="121" t="s">
        <v>133</v>
      </c>
      <c r="B28" s="122" t="s">
        <v>281</v>
      </c>
      <c r="C28" s="123">
        <f>SUM(C29:C33)</f>
        <v>6192325000000</v>
      </c>
      <c r="D28" s="123">
        <f>SUM(D29:D36)</f>
        <v>6777324000000</v>
      </c>
      <c r="E28" s="123">
        <f>SUM(E29:E36)</f>
        <v>9191008222447</v>
      </c>
      <c r="F28" s="123"/>
      <c r="G28" s="123"/>
      <c r="H28" s="115">
        <f t="shared" si="0"/>
        <v>1.4842580488664596</v>
      </c>
      <c r="I28" s="115">
        <f t="shared" si="1"/>
        <v>1.3561411882399308</v>
      </c>
      <c r="J28" s="132">
        <f>'Can doi'!G5-'Can doi'!G14</f>
        <v>9191008222447</v>
      </c>
      <c r="K28" s="49"/>
    </row>
    <row r="29" spans="1:11" ht="15">
      <c r="A29" s="117">
        <v>1</v>
      </c>
      <c r="B29" s="118" t="s">
        <v>245</v>
      </c>
      <c r="C29" s="119">
        <f>'PL08-B03'!C15</f>
        <v>1474870000000</v>
      </c>
      <c r="D29" s="119">
        <f>'PL08-B03'!D14+'PL08-B03'!D63</f>
        <v>1797970000000</v>
      </c>
      <c r="E29" s="119">
        <f>'Can doi'!G7</f>
        <v>2189880948382</v>
      </c>
      <c r="F29" s="119"/>
      <c r="G29" s="119"/>
      <c r="H29" s="115">
        <f t="shared" si="0"/>
        <v>1.4847959131191224</v>
      </c>
      <c r="I29" s="115">
        <f t="shared" si="1"/>
        <v>1.2179741310377814</v>
      </c>
      <c r="J29" s="131">
        <f>J28-E28</f>
        <v>0</v>
      </c>
      <c r="K29" s="49"/>
    </row>
    <row r="30" spans="1:11" ht="15">
      <c r="A30" s="117">
        <v>2</v>
      </c>
      <c r="B30" s="118" t="s">
        <v>244</v>
      </c>
      <c r="C30" s="119">
        <f>'PL08-B03'!C26</f>
        <v>4621295000000</v>
      </c>
      <c r="D30" s="119">
        <f>'PL08-B03'!D26</f>
        <v>4623194000000</v>
      </c>
      <c r="E30" s="119">
        <f>'PL08-B03'!E26</f>
        <v>5062568969275</v>
      </c>
      <c r="F30" s="119"/>
      <c r="G30" s="119"/>
      <c r="H30" s="115">
        <f t="shared" si="0"/>
        <v>1.095487080845304</v>
      </c>
      <c r="I30" s="115">
        <f t="shared" si="1"/>
        <v>1.0950371040616076</v>
      </c>
      <c r="J30" s="131"/>
      <c r="K30" s="49"/>
    </row>
    <row r="31" spans="1:11" ht="26.25">
      <c r="A31" s="117">
        <v>3</v>
      </c>
      <c r="B31" s="118" t="s">
        <v>282</v>
      </c>
      <c r="C31" s="119">
        <f>'PL08-B03'!C25</f>
        <v>0</v>
      </c>
      <c r="D31" s="119">
        <f>'PL08-B03'!D25</f>
        <v>0</v>
      </c>
      <c r="E31" s="119">
        <f>'PL08-B03'!E25</f>
        <v>223455050000</v>
      </c>
      <c r="F31" s="119"/>
      <c r="G31" s="119"/>
      <c r="H31" s="115"/>
      <c r="I31" s="115"/>
      <c r="J31" s="131"/>
      <c r="K31" s="49"/>
    </row>
    <row r="32" spans="1:11" ht="15">
      <c r="A32" s="117">
        <v>4</v>
      </c>
      <c r="B32" s="133" t="s">
        <v>283</v>
      </c>
      <c r="C32" s="119">
        <f>'PL08-B03'!C61</f>
        <v>95160000000</v>
      </c>
      <c r="D32" s="119">
        <f>'PL08-B03'!D61</f>
        <v>95160000000</v>
      </c>
      <c r="E32" s="119">
        <f>'PL08-B03'!E61</f>
        <v>0</v>
      </c>
      <c r="F32" s="128"/>
      <c r="G32" s="128"/>
      <c r="H32" s="115">
        <f t="shared" si="0"/>
        <v>0</v>
      </c>
      <c r="I32" s="115">
        <f t="shared" si="1"/>
        <v>0</v>
      </c>
      <c r="J32" s="124"/>
      <c r="K32" s="49"/>
    </row>
    <row r="33" spans="1:11" ht="15">
      <c r="A33" s="117">
        <v>5</v>
      </c>
      <c r="B33" s="118" t="s">
        <v>284</v>
      </c>
      <c r="C33" s="129">
        <f>'PL08-B03'!C59</f>
        <v>1000000000</v>
      </c>
      <c r="D33" s="129">
        <f>'PL08-B03'!D59</f>
        <v>1000000000</v>
      </c>
      <c r="E33" s="129">
        <f>'PL08-B03'!E59</f>
        <v>1000000000</v>
      </c>
      <c r="F33" s="128"/>
      <c r="G33" s="128"/>
      <c r="H33" s="115">
        <f t="shared" si="0"/>
        <v>1</v>
      </c>
      <c r="I33" s="115">
        <f t="shared" si="1"/>
        <v>1</v>
      </c>
      <c r="J33" s="124"/>
      <c r="K33" s="49"/>
    </row>
    <row r="34" spans="1:11" ht="15">
      <c r="A34" s="134">
        <v>6</v>
      </c>
      <c r="B34" s="135" t="s">
        <v>285</v>
      </c>
      <c r="C34" s="136">
        <v>0</v>
      </c>
      <c r="D34" s="136"/>
      <c r="E34" s="136">
        <f>'PL08-B03'!E60</f>
        <v>1490927893816</v>
      </c>
      <c r="F34" s="137"/>
      <c r="G34" s="137"/>
      <c r="H34" s="120"/>
      <c r="I34" s="120"/>
      <c r="J34" s="138"/>
      <c r="K34" s="49"/>
    </row>
    <row r="35" spans="1:11" ht="15">
      <c r="A35" s="117">
        <v>7</v>
      </c>
      <c r="B35" s="118" t="s">
        <v>303</v>
      </c>
      <c r="C35" s="129">
        <v>0</v>
      </c>
      <c r="D35" s="129"/>
      <c r="E35" s="129">
        <f>'PL08-B03'!E74</f>
        <v>55464540634</v>
      </c>
      <c r="F35" s="119"/>
      <c r="G35" s="119"/>
      <c r="H35" s="115"/>
      <c r="I35" s="115"/>
      <c r="J35" s="139"/>
      <c r="K35" s="49"/>
    </row>
    <row r="36" spans="1:11" ht="15">
      <c r="A36" s="140">
        <v>8</v>
      </c>
      <c r="B36" s="141" t="s">
        <v>302</v>
      </c>
      <c r="C36" s="142">
        <f>'PL08-B03'!C64</f>
        <v>0</v>
      </c>
      <c r="D36" s="142">
        <f>'PL08-B03'!D64</f>
        <v>260000000000</v>
      </c>
      <c r="E36" s="142">
        <f>'PL08-B03'!E64</f>
        <v>167710820340</v>
      </c>
      <c r="F36" s="143"/>
      <c r="G36" s="143"/>
      <c r="H36" s="163"/>
      <c r="I36" s="163"/>
      <c r="J36" s="139"/>
      <c r="K36" s="49"/>
    </row>
    <row r="37" spans="1:11" ht="15.75">
      <c r="A37" s="144"/>
      <c r="B37" s="145"/>
      <c r="C37" s="146"/>
      <c r="D37" s="146"/>
      <c r="E37" s="147"/>
      <c r="F37" s="147"/>
      <c r="G37" s="147"/>
      <c r="H37" s="148"/>
      <c r="I37" s="148"/>
      <c r="J37" s="138">
        <f>E15-E28</f>
        <v>239049449329</v>
      </c>
      <c r="K37" s="49"/>
    </row>
    <row r="38" spans="1:11" ht="15">
      <c r="A38" s="99"/>
      <c r="B38" s="94" t="s">
        <v>727</v>
      </c>
      <c r="C38" s="100"/>
      <c r="E38" s="94" t="s">
        <v>728</v>
      </c>
      <c r="F38" s="149"/>
      <c r="G38" s="149"/>
      <c r="H38" s="150"/>
      <c r="I38" s="150"/>
      <c r="J38" s="151">
        <f>'Can doi'!B17</f>
        <v>239049449329</v>
      </c>
      <c r="K38" s="49"/>
    </row>
    <row r="39" spans="1:11" ht="15">
      <c r="A39" s="99"/>
      <c r="B39" s="110" t="s">
        <v>208</v>
      </c>
      <c r="C39" s="100"/>
      <c r="D39" s="99"/>
      <c r="E39" s="97" t="s">
        <v>286</v>
      </c>
      <c r="F39" s="149"/>
      <c r="G39" s="149"/>
      <c r="H39" s="150"/>
      <c r="I39" s="150"/>
      <c r="J39" s="151">
        <f>J37-J38</f>
        <v>0</v>
      </c>
      <c r="K39" s="49"/>
    </row>
    <row r="40" spans="1:11" ht="15">
      <c r="A40" s="99"/>
      <c r="C40" s="100"/>
      <c r="D40" s="99"/>
      <c r="E40" s="97" t="s">
        <v>188</v>
      </c>
      <c r="F40" s="149"/>
      <c r="G40" s="149"/>
      <c r="H40" s="150"/>
      <c r="I40" s="150"/>
      <c r="J40" s="151"/>
      <c r="K40" s="49"/>
    </row>
    <row r="41" spans="1:11" ht="15">
      <c r="A41" s="99"/>
      <c r="B41" s="100"/>
      <c r="C41" s="100"/>
      <c r="D41" s="99"/>
      <c r="E41" s="152"/>
      <c r="F41" s="149"/>
      <c r="G41" s="149"/>
      <c r="H41" s="150"/>
      <c r="I41" s="150"/>
      <c r="J41" s="151"/>
      <c r="K41" s="49"/>
    </row>
    <row r="42" spans="1:11" ht="14.25">
      <c r="A42" s="153"/>
      <c r="B42" s="154"/>
      <c r="C42" s="154"/>
      <c r="D42" s="153"/>
      <c r="E42" s="168"/>
      <c r="F42" s="155"/>
      <c r="G42" s="155"/>
      <c r="H42" s="156"/>
      <c r="I42" s="156"/>
      <c r="J42" s="157"/>
      <c r="K42" s="49"/>
    </row>
    <row r="43" spans="1:11" ht="14.25">
      <c r="A43" s="153"/>
      <c r="B43" s="154"/>
      <c r="C43" s="154"/>
      <c r="D43" s="154"/>
      <c r="E43" s="156"/>
      <c r="F43" s="156"/>
      <c r="G43" s="156"/>
      <c r="H43" s="156"/>
      <c r="I43" s="156"/>
      <c r="J43" s="157"/>
      <c r="K43" s="49"/>
    </row>
    <row r="44" spans="1:11" ht="14.25">
      <c r="A44" s="54"/>
      <c r="B44" s="158"/>
      <c r="C44" s="158"/>
      <c r="D44" s="158"/>
      <c r="E44" s="157"/>
      <c r="F44" s="157"/>
      <c r="G44" s="157"/>
      <c r="H44" s="157"/>
      <c r="I44" s="157"/>
      <c r="J44" s="157"/>
      <c r="K44" s="49"/>
    </row>
    <row r="45" spans="1:11" ht="14.25">
      <c r="A45" s="54"/>
      <c r="B45" s="158"/>
      <c r="C45" s="158"/>
      <c r="D45" s="158"/>
      <c r="E45" s="157"/>
      <c r="F45" s="157"/>
      <c r="G45" s="157"/>
      <c r="H45" s="157"/>
      <c r="I45" s="157"/>
      <c r="J45" s="157"/>
      <c r="K45" s="49"/>
    </row>
    <row r="46" spans="1:11" ht="14.25">
      <c r="A46" s="54"/>
      <c r="B46" s="158"/>
      <c r="C46" s="158"/>
      <c r="D46" s="158"/>
      <c r="E46" s="157"/>
      <c r="F46" s="157"/>
      <c r="G46" s="157"/>
      <c r="H46" s="157"/>
      <c r="I46" s="157"/>
      <c r="J46" s="157"/>
      <c r="K46" s="49"/>
    </row>
    <row r="47" spans="1:11" ht="14.25">
      <c r="A47" s="54"/>
      <c r="B47" s="158"/>
      <c r="C47" s="158"/>
      <c r="D47" s="158"/>
      <c r="E47" s="157"/>
      <c r="F47" s="157"/>
      <c r="G47" s="157"/>
      <c r="H47" s="157"/>
      <c r="I47" s="157"/>
      <c r="J47" s="157"/>
      <c r="K47" s="49"/>
    </row>
    <row r="48" spans="1:11" ht="14.25">
      <c r="A48" s="54"/>
      <c r="B48" s="158"/>
      <c r="C48" s="158"/>
      <c r="D48" s="158"/>
      <c r="E48" s="157"/>
      <c r="F48" s="157"/>
      <c r="G48" s="157"/>
      <c r="H48" s="157"/>
      <c r="I48" s="157"/>
      <c r="J48" s="157"/>
      <c r="K48" s="49"/>
    </row>
    <row r="49" spans="1:11" ht="14.25">
      <c r="A49" s="54"/>
      <c r="B49" s="158"/>
      <c r="C49" s="158"/>
      <c r="D49" s="158"/>
      <c r="E49" s="157"/>
      <c r="F49" s="157"/>
      <c r="G49" s="157"/>
      <c r="H49" s="157"/>
      <c r="I49" s="157"/>
      <c r="J49" s="157"/>
      <c r="K49" s="49"/>
    </row>
    <row r="50" spans="1:11" ht="14.25">
      <c r="A50" s="54"/>
      <c r="B50" s="158"/>
      <c r="C50" s="158"/>
      <c r="D50" s="158"/>
      <c r="E50" s="157"/>
      <c r="F50" s="157"/>
      <c r="G50" s="157"/>
      <c r="H50" s="157"/>
      <c r="I50" s="157"/>
      <c r="J50" s="157"/>
      <c r="K50" s="49"/>
    </row>
    <row r="51" spans="1:11" ht="15">
      <c r="A51" s="52"/>
      <c r="B51" s="96"/>
      <c r="C51" s="96"/>
      <c r="D51" s="96"/>
      <c r="E51" s="151"/>
      <c r="F51" s="151"/>
      <c r="G51" s="151"/>
      <c r="H51" s="151"/>
      <c r="I51" s="151"/>
      <c r="J51" s="151"/>
      <c r="K51" s="49"/>
    </row>
    <row r="52" spans="1:11" ht="15">
      <c r="A52" s="52"/>
      <c r="B52" s="96"/>
      <c r="C52" s="96"/>
      <c r="D52" s="96"/>
      <c r="E52" s="151"/>
      <c r="F52" s="151"/>
      <c r="G52" s="151"/>
      <c r="H52" s="151"/>
      <c r="I52" s="151"/>
      <c r="J52" s="151"/>
      <c r="K52" s="49"/>
    </row>
    <row r="53" spans="1:11" ht="15">
      <c r="A53" s="52"/>
      <c r="B53" s="96"/>
      <c r="C53" s="96"/>
      <c r="D53" s="96"/>
      <c r="E53" s="151"/>
      <c r="F53" s="151"/>
      <c r="G53" s="151"/>
      <c r="H53" s="151"/>
      <c r="I53" s="151"/>
      <c r="J53" s="151"/>
      <c r="K53" s="49"/>
    </row>
    <row r="54" spans="1:11" ht="15">
      <c r="A54" s="52"/>
      <c r="B54" s="96"/>
      <c r="C54" s="96"/>
      <c r="D54" s="96"/>
      <c r="E54" s="151"/>
      <c r="F54" s="151"/>
      <c r="G54" s="151"/>
      <c r="H54" s="151"/>
      <c r="I54" s="151"/>
      <c r="J54" s="151"/>
      <c r="K54" s="49"/>
    </row>
    <row r="55" spans="1:11" ht="15">
      <c r="A55" s="52"/>
      <c r="B55" s="96"/>
      <c r="C55" s="96"/>
      <c r="D55" s="96"/>
      <c r="E55" s="151"/>
      <c r="F55" s="151"/>
      <c r="G55" s="151"/>
      <c r="H55" s="151"/>
      <c r="I55" s="151"/>
      <c r="J55" s="151"/>
      <c r="K55" s="49"/>
    </row>
    <row r="56" spans="1:11" ht="15">
      <c r="A56" s="52"/>
      <c r="B56" s="96"/>
      <c r="C56" s="96"/>
      <c r="D56" s="96"/>
      <c r="E56" s="151"/>
      <c r="F56" s="151"/>
      <c r="G56" s="151"/>
      <c r="H56" s="151"/>
      <c r="I56" s="151"/>
      <c r="J56" s="151"/>
      <c r="K56" s="49"/>
    </row>
    <row r="57" spans="1:11" ht="15">
      <c r="A57" s="49"/>
      <c r="B57" s="49"/>
      <c r="C57" s="49"/>
      <c r="D57" s="49"/>
      <c r="E57" s="151"/>
      <c r="F57" s="151"/>
      <c r="G57" s="151"/>
      <c r="H57" s="151"/>
      <c r="I57" s="151"/>
      <c r="J57" s="151"/>
      <c r="K57" s="49"/>
    </row>
    <row r="58" spans="1:11" ht="15">
      <c r="A58" s="49"/>
      <c r="B58" s="49"/>
      <c r="C58" s="49"/>
      <c r="D58" s="49"/>
      <c r="E58" s="151"/>
      <c r="F58" s="151"/>
      <c r="G58" s="151"/>
      <c r="H58" s="151"/>
      <c r="I58" s="151"/>
      <c r="J58" s="151"/>
      <c r="K58" s="49"/>
    </row>
    <row r="59" spans="1:11" ht="15">
      <c r="A59" s="49"/>
      <c r="B59" s="49"/>
      <c r="C59" s="49"/>
      <c r="D59" s="49"/>
      <c r="E59" s="151"/>
      <c r="F59" s="151"/>
      <c r="G59" s="151"/>
      <c r="H59" s="151"/>
      <c r="I59" s="151"/>
      <c r="J59" s="151"/>
      <c r="K59" s="49"/>
    </row>
    <row r="60" spans="1:11" ht="15">
      <c r="A60" s="49"/>
      <c r="B60" s="49"/>
      <c r="C60" s="49"/>
      <c r="D60" s="49"/>
      <c r="E60" s="151"/>
      <c r="F60" s="151"/>
      <c r="G60" s="151"/>
      <c r="H60" s="151"/>
      <c r="I60" s="151"/>
      <c r="J60" s="151"/>
      <c r="K60" s="49"/>
    </row>
    <row r="61" spans="1:11" ht="15">
      <c r="A61" s="49"/>
      <c r="B61" s="49"/>
      <c r="C61" s="49"/>
      <c r="D61" s="49"/>
      <c r="E61" s="151"/>
      <c r="F61" s="151"/>
      <c r="G61" s="151"/>
      <c r="H61" s="151"/>
      <c r="I61" s="151"/>
      <c r="J61" s="151"/>
      <c r="K61" s="49"/>
    </row>
    <row r="62" spans="1:11" ht="15">
      <c r="A62" s="49"/>
      <c r="B62" s="49"/>
      <c r="C62" s="49"/>
      <c r="D62" s="49"/>
      <c r="E62" s="151"/>
      <c r="F62" s="151"/>
      <c r="G62" s="151"/>
      <c r="H62" s="151"/>
      <c r="I62" s="151"/>
      <c r="J62" s="151"/>
      <c r="K62" s="49"/>
    </row>
    <row r="63" spans="1:11" ht="15">
      <c r="A63" s="49"/>
      <c r="B63" s="49"/>
      <c r="C63" s="49"/>
      <c r="D63" s="49"/>
      <c r="E63" s="151"/>
      <c r="F63" s="151"/>
      <c r="G63" s="151"/>
      <c r="H63" s="151"/>
      <c r="I63" s="151"/>
      <c r="J63" s="151"/>
      <c r="K63" s="49"/>
    </row>
    <row r="64" spans="1:11" ht="15">
      <c r="A64" s="49"/>
      <c r="B64" s="49"/>
      <c r="C64" s="49"/>
      <c r="D64" s="49"/>
      <c r="E64" s="151"/>
      <c r="F64" s="151"/>
      <c r="G64" s="151"/>
      <c r="H64" s="151"/>
      <c r="I64" s="151"/>
      <c r="J64" s="151"/>
      <c r="K64" s="49"/>
    </row>
    <row r="65" spans="1:11" ht="15">
      <c r="A65" s="49"/>
      <c r="B65" s="49"/>
      <c r="C65" s="49"/>
      <c r="D65" s="49"/>
      <c r="E65" s="151"/>
      <c r="F65" s="151"/>
      <c r="G65" s="151"/>
      <c r="H65" s="151"/>
      <c r="I65" s="151"/>
      <c r="J65" s="151"/>
      <c r="K65" s="49"/>
    </row>
    <row r="66" spans="1:11" ht="15">
      <c r="A66" s="49"/>
      <c r="B66" s="49"/>
      <c r="C66" s="49"/>
      <c r="D66" s="49"/>
      <c r="E66" s="151"/>
      <c r="F66" s="151"/>
      <c r="G66" s="151"/>
      <c r="H66" s="151"/>
      <c r="I66" s="151"/>
      <c r="J66" s="151"/>
      <c r="K66" s="49"/>
    </row>
    <row r="67" spans="1:11" ht="15">
      <c r="A67" s="49"/>
      <c r="B67" s="49"/>
      <c r="C67" s="49"/>
      <c r="D67" s="49"/>
      <c r="E67" s="151"/>
      <c r="F67" s="151"/>
      <c r="G67" s="151"/>
      <c r="H67" s="151"/>
      <c r="I67" s="151"/>
      <c r="J67" s="151"/>
      <c r="K67" s="49"/>
    </row>
    <row r="68" spans="1:11" ht="15">
      <c r="A68" s="49"/>
      <c r="B68" s="49"/>
      <c r="C68" s="49"/>
      <c r="D68" s="49"/>
      <c r="E68" s="151"/>
      <c r="F68" s="151"/>
      <c r="G68" s="151"/>
      <c r="H68" s="151"/>
      <c r="I68" s="151"/>
      <c r="J68" s="151"/>
      <c r="K68" s="49"/>
    </row>
    <row r="69" spans="1:11" ht="15">
      <c r="A69" s="49"/>
      <c r="B69" s="49"/>
      <c r="C69" s="49"/>
      <c r="D69" s="49"/>
      <c r="E69" s="151"/>
      <c r="F69" s="151"/>
      <c r="G69" s="151"/>
      <c r="H69" s="151"/>
      <c r="I69" s="151"/>
      <c r="J69" s="151"/>
      <c r="K69" s="49"/>
    </row>
    <row r="70" spans="1:11" ht="15">
      <c r="A70" s="49"/>
      <c r="B70" s="49"/>
      <c r="C70" s="49"/>
      <c r="D70" s="49"/>
      <c r="E70" s="151"/>
      <c r="F70" s="151"/>
      <c r="G70" s="151"/>
      <c r="H70" s="151"/>
      <c r="I70" s="151"/>
      <c r="J70" s="151"/>
      <c r="K70" s="49"/>
    </row>
    <row r="71" spans="1:11" ht="15">
      <c r="A71" s="49"/>
      <c r="B71" s="49"/>
      <c r="C71" s="49"/>
      <c r="D71" s="49"/>
      <c r="E71" s="151"/>
      <c r="F71" s="151"/>
      <c r="G71" s="151"/>
      <c r="H71" s="151"/>
      <c r="I71" s="151"/>
      <c r="J71" s="151"/>
      <c r="K71" s="49"/>
    </row>
    <row r="72" spans="1:11" ht="15">
      <c r="A72" s="49"/>
      <c r="B72" s="49"/>
      <c r="C72" s="49"/>
      <c r="D72" s="49"/>
      <c r="E72" s="151"/>
      <c r="F72" s="151"/>
      <c r="G72" s="151"/>
      <c r="H72" s="151"/>
      <c r="I72" s="151"/>
      <c r="J72" s="151"/>
      <c r="K72" s="49"/>
    </row>
    <row r="73" spans="1:11" ht="15">
      <c r="A73" s="49"/>
      <c r="B73" s="49"/>
      <c r="C73" s="49"/>
      <c r="D73" s="49"/>
      <c r="E73" s="151"/>
      <c r="F73" s="151"/>
      <c r="G73" s="151"/>
      <c r="H73" s="151"/>
      <c r="I73" s="151"/>
      <c r="J73" s="151"/>
      <c r="K73" s="49"/>
    </row>
    <row r="74" spans="1:11" ht="15">
      <c r="A74" s="49"/>
      <c r="B74" s="49"/>
      <c r="C74" s="49"/>
      <c r="D74" s="49"/>
      <c r="E74" s="151"/>
      <c r="F74" s="151"/>
      <c r="G74" s="151"/>
      <c r="H74" s="151"/>
      <c r="I74" s="151"/>
      <c r="J74" s="151"/>
      <c r="K74" s="49"/>
    </row>
    <row r="75" spans="1:11" ht="15">
      <c r="A75" s="49"/>
      <c r="B75" s="49"/>
      <c r="C75" s="49"/>
      <c r="D75" s="49"/>
      <c r="E75" s="151"/>
      <c r="F75" s="151"/>
      <c r="G75" s="151"/>
      <c r="H75" s="151"/>
      <c r="I75" s="151"/>
      <c r="J75" s="151"/>
      <c r="K75" s="49"/>
    </row>
    <row r="76" spans="1:11" ht="15">
      <c r="A76" s="49"/>
      <c r="B76" s="49"/>
      <c r="C76" s="49"/>
      <c r="D76" s="49"/>
      <c r="E76" s="151"/>
      <c r="F76" s="151"/>
      <c r="G76" s="151"/>
      <c r="H76" s="151"/>
      <c r="I76" s="151"/>
      <c r="J76" s="151"/>
      <c r="K76" s="49"/>
    </row>
    <row r="77" spans="1:11" ht="15">
      <c r="A77" s="49"/>
      <c r="B77" s="49"/>
      <c r="C77" s="49"/>
      <c r="D77" s="49"/>
      <c r="E77" s="151"/>
      <c r="F77" s="151"/>
      <c r="G77" s="151"/>
      <c r="H77" s="151"/>
      <c r="I77" s="151"/>
      <c r="J77" s="151"/>
      <c r="K77" s="49"/>
    </row>
    <row r="78" spans="1:11" ht="15">
      <c r="A78" s="49"/>
      <c r="B78" s="49"/>
      <c r="C78" s="49"/>
      <c r="D78" s="49"/>
      <c r="E78" s="151"/>
      <c r="F78" s="151"/>
      <c r="G78" s="151"/>
      <c r="H78" s="151"/>
      <c r="I78" s="151"/>
      <c r="J78" s="151"/>
      <c r="K78" s="49"/>
    </row>
    <row r="79" spans="1:11" ht="15">
      <c r="A79" s="49"/>
      <c r="B79" s="49"/>
      <c r="C79" s="49"/>
      <c r="D79" s="49"/>
      <c r="E79" s="151"/>
      <c r="F79" s="151"/>
      <c r="G79" s="151"/>
      <c r="H79" s="151"/>
      <c r="I79" s="151"/>
      <c r="J79" s="151"/>
      <c r="K79" s="49"/>
    </row>
    <row r="80" spans="1:11" ht="15">
      <c r="A80" s="49"/>
      <c r="B80" s="49"/>
      <c r="C80" s="49"/>
      <c r="D80" s="49"/>
      <c r="E80" s="151"/>
      <c r="F80" s="151"/>
      <c r="G80" s="151"/>
      <c r="H80" s="151"/>
      <c r="I80" s="151"/>
      <c r="J80" s="151"/>
      <c r="K80" s="49"/>
    </row>
    <row r="81" spans="1:11" ht="15">
      <c r="A81" s="49"/>
      <c r="B81" s="49"/>
      <c r="C81" s="49"/>
      <c r="D81" s="49"/>
      <c r="E81" s="151"/>
      <c r="F81" s="151"/>
      <c r="G81" s="151"/>
      <c r="H81" s="151"/>
      <c r="I81" s="151"/>
      <c r="J81" s="151"/>
      <c r="K81" s="49"/>
    </row>
    <row r="82" spans="1:11" ht="15">
      <c r="A82" s="49"/>
      <c r="B82" s="49"/>
      <c r="C82" s="49"/>
      <c r="D82" s="49"/>
      <c r="E82" s="96"/>
      <c r="F82" s="96"/>
      <c r="G82" s="96"/>
      <c r="H82" s="96"/>
      <c r="I82" s="96"/>
      <c r="J82" s="96"/>
      <c r="K82" s="49"/>
    </row>
    <row r="83" spans="1:11" ht="15">
      <c r="A83" s="49"/>
      <c r="B83" s="49"/>
      <c r="C83" s="49"/>
      <c r="D83" s="49"/>
      <c r="E83" s="96"/>
      <c r="F83" s="96"/>
      <c r="G83" s="96"/>
      <c r="H83" s="96"/>
      <c r="I83" s="96"/>
      <c r="J83" s="96"/>
      <c r="K83" s="49"/>
    </row>
    <row r="84" spans="1:11" ht="15">
      <c r="A84" s="49"/>
      <c r="B84" s="49"/>
      <c r="C84" s="49"/>
      <c r="D84" s="49"/>
      <c r="E84" s="96"/>
      <c r="F84" s="96"/>
      <c r="G84" s="96"/>
      <c r="H84" s="96"/>
      <c r="I84" s="96"/>
      <c r="J84" s="96"/>
      <c r="K84" s="49"/>
    </row>
    <row r="85" spans="1:11" ht="15">
      <c r="A85" s="49"/>
      <c r="B85" s="49"/>
      <c r="C85" s="49"/>
      <c r="D85" s="49"/>
      <c r="E85" s="96"/>
      <c r="F85" s="96"/>
      <c r="G85" s="96"/>
      <c r="H85" s="96"/>
      <c r="I85" s="96"/>
      <c r="J85" s="96"/>
      <c r="K85" s="49"/>
    </row>
    <row r="86" spans="1:11" ht="15">
      <c r="A86" s="49"/>
      <c r="B86" s="49"/>
      <c r="C86" s="49"/>
      <c r="D86" s="49"/>
      <c r="E86" s="96"/>
      <c r="F86" s="96"/>
      <c r="G86" s="96"/>
      <c r="H86" s="96"/>
      <c r="I86" s="96"/>
      <c r="J86" s="96"/>
      <c r="K86" s="49"/>
    </row>
    <row r="87" spans="1:11" ht="15">
      <c r="A87" s="49"/>
      <c r="B87" s="49"/>
      <c r="C87" s="49"/>
      <c r="D87" s="49"/>
      <c r="E87" s="96"/>
      <c r="F87" s="96"/>
      <c r="G87" s="96"/>
      <c r="H87" s="96"/>
      <c r="I87" s="96"/>
      <c r="J87" s="96"/>
      <c r="K87" s="49"/>
    </row>
    <row r="88" spans="1:11" ht="15">
      <c r="A88" s="49"/>
      <c r="B88" s="49"/>
      <c r="C88" s="49"/>
      <c r="D88" s="49"/>
      <c r="E88" s="96"/>
      <c r="F88" s="96"/>
      <c r="G88" s="96"/>
      <c r="H88" s="96"/>
      <c r="I88" s="96"/>
      <c r="J88" s="96"/>
      <c r="K88" s="49"/>
    </row>
    <row r="89" spans="1:11" ht="14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4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4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4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4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4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4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4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14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</row>
  </sheetData>
  <sheetProtection/>
  <mergeCells count="7">
    <mergeCell ref="B6:B7"/>
    <mergeCell ref="E6:E7"/>
    <mergeCell ref="H6:I6"/>
    <mergeCell ref="A1:C1"/>
    <mergeCell ref="A6:A7"/>
    <mergeCell ref="E1:I1"/>
    <mergeCell ref="E5:I5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421875" style="0" customWidth="1"/>
    <col min="2" max="2" width="33.28125" style="0" customWidth="1"/>
    <col min="3" max="3" width="15.140625" style="0" bestFit="1" customWidth="1"/>
    <col min="4" max="4" width="14.57421875" style="0" bestFit="1" customWidth="1"/>
    <col min="5" max="5" width="13.7109375" style="0" customWidth="1"/>
    <col min="6" max="7" width="13.8515625" style="0" customWidth="1"/>
    <col min="8" max="8" width="13.7109375" style="0" customWidth="1"/>
    <col min="9" max="9" width="6.28125" style="0" customWidth="1"/>
    <col min="10" max="10" width="6.00390625" style="0" customWidth="1"/>
    <col min="11" max="11" width="7.421875" style="0" customWidth="1"/>
    <col min="12" max="12" width="10.57421875" style="0" customWidth="1"/>
    <col min="14" max="15" width="9.140625" style="164" customWidth="1"/>
  </cols>
  <sheetData>
    <row r="1" spans="1:13" ht="51" customHeight="1">
      <c r="A1" s="847" t="s">
        <v>241</v>
      </c>
      <c r="B1" s="847"/>
      <c r="C1" s="64"/>
      <c r="D1" s="64"/>
      <c r="E1" s="64"/>
      <c r="F1" s="64"/>
      <c r="G1" s="64"/>
      <c r="H1" s="845" t="s">
        <v>288</v>
      </c>
      <c r="I1" s="845"/>
      <c r="J1" s="845"/>
      <c r="K1" s="845"/>
      <c r="L1" s="65"/>
      <c r="M1" s="65"/>
    </row>
    <row r="2" spans="1:13" ht="18.75" customHeight="1">
      <c r="A2" s="842" t="s">
        <v>598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66"/>
      <c r="M2" s="66"/>
    </row>
    <row r="3" spans="1:13" ht="19.5">
      <c r="A3" s="849" t="s">
        <v>289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67"/>
      <c r="M3" s="67"/>
    </row>
    <row r="4" spans="1:13" ht="18">
      <c r="A4" s="68"/>
      <c r="B4" s="69"/>
      <c r="C4" s="70"/>
      <c r="D4" s="70"/>
      <c r="E4" s="70"/>
      <c r="F4" s="70"/>
      <c r="G4" s="70"/>
      <c r="H4" s="70"/>
      <c r="I4" s="70"/>
      <c r="J4" s="70"/>
      <c r="K4" s="166" t="s">
        <v>287</v>
      </c>
      <c r="L4" s="71"/>
      <c r="M4" s="71"/>
    </row>
    <row r="5" spans="1:13" ht="16.5" customHeight="1">
      <c r="A5" s="848" t="s">
        <v>290</v>
      </c>
      <c r="B5" s="848" t="s">
        <v>0</v>
      </c>
      <c r="C5" s="243" t="s">
        <v>266</v>
      </c>
      <c r="D5" s="243"/>
      <c r="E5" s="244"/>
      <c r="F5" s="243" t="s">
        <v>243</v>
      </c>
      <c r="G5" s="244"/>
      <c r="H5" s="244"/>
      <c r="I5" s="244" t="s">
        <v>257</v>
      </c>
      <c r="J5" s="244"/>
      <c r="K5" s="244"/>
      <c r="L5" s="72"/>
      <c r="M5" s="72"/>
    </row>
    <row r="6" spans="1:13" ht="15" customHeight="1">
      <c r="A6" s="848"/>
      <c r="B6" s="848"/>
      <c r="C6" s="846" t="s">
        <v>259</v>
      </c>
      <c r="D6" s="244" t="s">
        <v>240</v>
      </c>
      <c r="E6" s="244"/>
      <c r="F6" s="846" t="s">
        <v>259</v>
      </c>
      <c r="G6" s="244" t="s">
        <v>240</v>
      </c>
      <c r="H6" s="244"/>
      <c r="I6" s="244" t="s">
        <v>260</v>
      </c>
      <c r="J6" s="244"/>
      <c r="K6" s="244"/>
      <c r="L6" s="72"/>
      <c r="M6" s="72"/>
    </row>
    <row r="7" spans="1:13" ht="33.75" customHeight="1">
      <c r="A7" s="848"/>
      <c r="B7" s="848"/>
      <c r="C7" s="846"/>
      <c r="D7" s="245" t="s">
        <v>261</v>
      </c>
      <c r="E7" s="245" t="s">
        <v>262</v>
      </c>
      <c r="F7" s="846"/>
      <c r="G7" s="245" t="s">
        <v>261</v>
      </c>
      <c r="H7" s="245" t="s">
        <v>262</v>
      </c>
      <c r="I7" s="245" t="s">
        <v>258</v>
      </c>
      <c r="J7" s="245" t="s">
        <v>291</v>
      </c>
      <c r="K7" s="245" t="s">
        <v>262</v>
      </c>
      <c r="L7" s="72"/>
      <c r="M7" s="72"/>
    </row>
    <row r="8" spans="1:13" ht="15">
      <c r="A8" s="246" t="s">
        <v>13</v>
      </c>
      <c r="B8" s="247" t="s">
        <v>14</v>
      </c>
      <c r="C8" s="247">
        <v>1</v>
      </c>
      <c r="D8" s="247">
        <v>2</v>
      </c>
      <c r="E8" s="247">
        <v>3</v>
      </c>
      <c r="F8" s="247">
        <v>4</v>
      </c>
      <c r="G8" s="247">
        <v>5</v>
      </c>
      <c r="H8" s="247">
        <v>6</v>
      </c>
      <c r="I8" s="247">
        <v>7</v>
      </c>
      <c r="J8" s="247">
        <v>8</v>
      </c>
      <c r="K8" s="247">
        <v>9</v>
      </c>
      <c r="L8" s="73"/>
      <c r="M8" s="73"/>
    </row>
    <row r="9" spans="1:13" ht="15">
      <c r="A9" s="239"/>
      <c r="B9" s="240" t="s">
        <v>292</v>
      </c>
      <c r="C9" s="241">
        <f>C10+C14+C19+C20+C21+C22+C23+C24+C18</f>
        <v>6776324000000</v>
      </c>
      <c r="D9" s="241">
        <f>D10+D14+D19+D20+D21+D22+D23+D24+D18</f>
        <v>3389068000000</v>
      </c>
      <c r="E9" s="241">
        <f>E10+E14+E19+E20+E21+E22+E23+E24</f>
        <v>3387256000000</v>
      </c>
      <c r="F9" s="241">
        <f>F10+F14+F19+F20+F21+F22+F23+F24</f>
        <v>9191008222447</v>
      </c>
      <c r="G9" s="241">
        <f>G10+G14+G19+G20+G21+G22+G23+G24</f>
        <v>4328134491729</v>
      </c>
      <c r="H9" s="241">
        <f>H10+H14+H19+H20+H21+H22+H23+H24</f>
        <v>4862873730718</v>
      </c>
      <c r="I9" s="242">
        <f>F9/C9</f>
        <v>1.356341317570854</v>
      </c>
      <c r="J9" s="242">
        <f>G9/D9</f>
        <v>1.2770869429970126</v>
      </c>
      <c r="K9" s="242">
        <f>H9/E9</f>
        <v>1.4356380889776268</v>
      </c>
      <c r="L9" s="74"/>
      <c r="M9" s="74"/>
    </row>
    <row r="10" spans="1:14" ht="15">
      <c r="A10" s="75" t="s">
        <v>18</v>
      </c>
      <c r="B10" s="179" t="s">
        <v>245</v>
      </c>
      <c r="C10" s="169">
        <f>D10+E10</f>
        <v>1716970000000</v>
      </c>
      <c r="D10" s="169">
        <f>'PL08-B03'!D15-E10</f>
        <v>1420924000000</v>
      </c>
      <c r="E10" s="169">
        <v>296046000000</v>
      </c>
      <c r="F10" s="169">
        <f aca="true" t="shared" si="0" ref="F10:F24">G10+H10</f>
        <v>2189880948382</v>
      </c>
      <c r="G10" s="169">
        <f>'Can doi'!H7</f>
        <v>1354412163305</v>
      </c>
      <c r="H10" s="169">
        <f>'Can doi'!I7+'Can doi'!J7</f>
        <v>835468785077</v>
      </c>
      <c r="I10" s="170">
        <f aca="true" t="shared" si="1" ref="I10:I24">F10/C10</f>
        <v>1.2754334370326796</v>
      </c>
      <c r="J10" s="170">
        <f>G10/D10</f>
        <v>0.9531911371086701</v>
      </c>
      <c r="K10" s="170">
        <f>H10/E10</f>
        <v>2.8220911111009777</v>
      </c>
      <c r="L10" s="74"/>
      <c r="M10" s="74"/>
      <c r="N10" s="164" t="s">
        <v>307</v>
      </c>
    </row>
    <row r="11" spans="1:15" s="235" customFormat="1" ht="15">
      <c r="A11" s="161"/>
      <c r="B11" s="180" t="s">
        <v>293</v>
      </c>
      <c r="C11" s="171">
        <f aca="true" t="shared" si="2" ref="C11:C23">D11+E11</f>
        <v>0</v>
      </c>
      <c r="D11" s="171"/>
      <c r="E11" s="171"/>
      <c r="F11" s="171">
        <f t="shared" si="0"/>
        <v>0</v>
      </c>
      <c r="G11" s="171"/>
      <c r="H11" s="171"/>
      <c r="I11" s="170"/>
      <c r="J11" s="170"/>
      <c r="K11" s="170"/>
      <c r="L11" s="162"/>
      <c r="M11" s="162"/>
      <c r="N11" s="234" t="s">
        <v>308</v>
      </c>
      <c r="O11" s="234" t="s">
        <v>306</v>
      </c>
    </row>
    <row r="12" spans="1:15" s="235" customFormat="1" ht="15">
      <c r="A12" s="161">
        <v>1</v>
      </c>
      <c r="B12" s="181" t="s">
        <v>294</v>
      </c>
      <c r="C12" s="171">
        <f t="shared" si="2"/>
        <v>105000000000</v>
      </c>
      <c r="D12" s="171">
        <f>105000000000-E12</f>
        <v>26000000000</v>
      </c>
      <c r="E12" s="171">
        <v>79000000000</v>
      </c>
      <c r="F12" s="171">
        <f>G12+H12</f>
        <v>289967865211</v>
      </c>
      <c r="G12" s="171">
        <v>97426843644</v>
      </c>
      <c r="H12" s="171">
        <f>122821870505+69719151062</f>
        <v>192541021567</v>
      </c>
      <c r="I12" s="170">
        <f t="shared" si="1"/>
        <v>2.761598716295238</v>
      </c>
      <c r="J12" s="170">
        <f>G12/D12</f>
        <v>3.747186294</v>
      </c>
      <c r="K12" s="170"/>
      <c r="L12" s="76" t="s">
        <v>249</v>
      </c>
      <c r="M12" s="162">
        <v>2039</v>
      </c>
      <c r="N12" s="234">
        <v>2150</v>
      </c>
      <c r="O12" s="234">
        <v>11756</v>
      </c>
    </row>
    <row r="13" spans="1:15" s="235" customFormat="1" ht="15">
      <c r="A13" s="161">
        <v>2</v>
      </c>
      <c r="B13" s="181" t="s">
        <v>295</v>
      </c>
      <c r="C13" s="171">
        <f t="shared" si="2"/>
        <v>18000000000</v>
      </c>
      <c r="D13" s="171">
        <v>18000000000</v>
      </c>
      <c r="E13" s="171"/>
      <c r="F13" s="171">
        <f t="shared" si="0"/>
        <v>6500000000</v>
      </c>
      <c r="G13" s="171">
        <v>6500000000</v>
      </c>
      <c r="H13" s="171"/>
      <c r="I13" s="170">
        <f t="shared" si="1"/>
        <v>0.3611111111111111</v>
      </c>
      <c r="J13" s="170">
        <f>G13/D13</f>
        <v>0.3611111111111111</v>
      </c>
      <c r="K13" s="170"/>
      <c r="L13" s="76" t="s">
        <v>250</v>
      </c>
      <c r="M13" s="162">
        <v>5174</v>
      </c>
      <c r="N13" s="234">
        <v>616</v>
      </c>
      <c r="O13" s="234">
        <v>7450</v>
      </c>
    </row>
    <row r="14" spans="1:15" ht="15">
      <c r="A14" s="77" t="s">
        <v>111</v>
      </c>
      <c r="B14" s="182" t="s">
        <v>244</v>
      </c>
      <c r="C14" s="169">
        <f>D14+E14</f>
        <v>4623194000000</v>
      </c>
      <c r="D14" s="172">
        <f>'PL08-B03'!D26-E14</f>
        <v>1653984000000</v>
      </c>
      <c r="E14" s="172">
        <v>2969210000000</v>
      </c>
      <c r="F14" s="169">
        <f t="shared" si="0"/>
        <v>5062568969275</v>
      </c>
      <c r="G14" s="172">
        <f>'Can doi'!H12</f>
        <v>1539076621668</v>
      </c>
      <c r="H14" s="172">
        <f>'Can doi'!I12+'Can doi'!J12</f>
        <v>3523492347607</v>
      </c>
      <c r="I14" s="170">
        <f t="shared" si="1"/>
        <v>1.0950371040616076</v>
      </c>
      <c r="J14" s="170">
        <f>G14/D14</f>
        <v>0.9305269105795461</v>
      </c>
      <c r="K14" s="170">
        <f>H14/E14</f>
        <v>1.186676707813526</v>
      </c>
      <c r="L14" s="78" t="s">
        <v>251</v>
      </c>
      <c r="M14" s="73">
        <v>18368</v>
      </c>
      <c r="N14" s="164">
        <f>1893526000/1000000</f>
        <v>1893.526</v>
      </c>
      <c r="O14" s="164">
        <v>25885</v>
      </c>
    </row>
    <row r="15" spans="1:15" s="235" customFormat="1" ht="15">
      <c r="A15" s="161"/>
      <c r="B15" s="180" t="s">
        <v>293</v>
      </c>
      <c r="C15" s="171">
        <f t="shared" si="2"/>
        <v>0</v>
      </c>
      <c r="D15" s="173"/>
      <c r="E15" s="173"/>
      <c r="F15" s="171">
        <f t="shared" si="0"/>
        <v>0</v>
      </c>
      <c r="G15" s="173"/>
      <c r="H15" s="173"/>
      <c r="I15" s="170"/>
      <c r="J15" s="170"/>
      <c r="K15" s="170"/>
      <c r="L15" s="76" t="s">
        <v>246</v>
      </c>
      <c r="M15" s="79">
        <v>20800</v>
      </c>
      <c r="N15" s="234">
        <v>22738</v>
      </c>
      <c r="O15" s="234">
        <v>32141</v>
      </c>
    </row>
    <row r="16" spans="1:15" s="235" customFormat="1" ht="15">
      <c r="A16" s="161">
        <v>1</v>
      </c>
      <c r="B16" s="181" t="s">
        <v>294</v>
      </c>
      <c r="C16" s="171">
        <f t="shared" si="2"/>
        <v>1997383000000</v>
      </c>
      <c r="D16" s="173">
        <f>'PL08-B03'!C30-E16</f>
        <v>451924000000</v>
      </c>
      <c r="E16" s="173">
        <v>1545459000000</v>
      </c>
      <c r="F16" s="171">
        <f t="shared" si="0"/>
        <v>2027303077906</v>
      </c>
      <c r="G16" s="173">
        <f>'PL08-B03'!F30+'PL08-B03'!F65</f>
        <v>403608467804</v>
      </c>
      <c r="H16" s="173">
        <f>'PL08-B03'!G30+'PL08-B03'!H30+'PL08-B03'!G65</f>
        <v>1623694610102</v>
      </c>
      <c r="I16" s="170">
        <f t="shared" si="1"/>
        <v>1.0149796398116937</v>
      </c>
      <c r="J16" s="170">
        <f>G16/D16</f>
        <v>0.8930892535116524</v>
      </c>
      <c r="K16" s="170">
        <f>H16/E16</f>
        <v>1.050622895917653</v>
      </c>
      <c r="L16" s="76" t="s">
        <v>247</v>
      </c>
      <c r="M16" s="79">
        <v>14541</v>
      </c>
      <c r="N16" s="234">
        <v>165231</v>
      </c>
      <c r="O16" s="234">
        <v>188189</v>
      </c>
    </row>
    <row r="17" spans="1:15" s="235" customFormat="1" ht="15">
      <c r="A17" s="161">
        <v>2</v>
      </c>
      <c r="B17" s="181" t="s">
        <v>295</v>
      </c>
      <c r="C17" s="171">
        <f t="shared" si="2"/>
        <v>24232000000</v>
      </c>
      <c r="D17" s="173">
        <f>'PL08-B03'!D35</f>
        <v>24232000000</v>
      </c>
      <c r="E17" s="173"/>
      <c r="F17" s="171">
        <f t="shared" si="0"/>
        <v>17831911731</v>
      </c>
      <c r="G17" s="173">
        <f>'PL08-B03'!F35</f>
        <v>17831911731</v>
      </c>
      <c r="H17" s="173"/>
      <c r="I17" s="170">
        <f t="shared" si="1"/>
        <v>0.7358827885028062</v>
      </c>
      <c r="J17" s="170">
        <f>G17/D17</f>
        <v>0.7358827885028062</v>
      </c>
      <c r="K17" s="170"/>
      <c r="L17" s="76" t="s">
        <v>248</v>
      </c>
      <c r="M17" s="79">
        <v>8651</v>
      </c>
      <c r="N17" s="234">
        <f>3724400000/1000000</f>
        <v>3724.4</v>
      </c>
      <c r="O17" s="234">
        <v>8837</v>
      </c>
    </row>
    <row r="18" spans="1:15" s="60" customFormat="1" ht="15">
      <c r="A18" s="75" t="s">
        <v>117</v>
      </c>
      <c r="B18" s="187" t="s">
        <v>314</v>
      </c>
      <c r="C18" s="169">
        <f>D18+E18</f>
        <v>80000000000</v>
      </c>
      <c r="D18" s="172">
        <v>80000000000</v>
      </c>
      <c r="E18" s="172"/>
      <c r="F18" s="169"/>
      <c r="G18" s="172"/>
      <c r="H18" s="172"/>
      <c r="I18" s="188"/>
      <c r="J18" s="188"/>
      <c r="K18" s="188"/>
      <c r="L18" s="78"/>
      <c r="M18" s="73"/>
      <c r="N18" s="189"/>
      <c r="O18" s="189"/>
    </row>
    <row r="19" spans="1:15" ht="41.25" customHeight="1">
      <c r="A19" s="80" t="s">
        <v>119</v>
      </c>
      <c r="B19" s="183" t="s">
        <v>296</v>
      </c>
      <c r="C19" s="169">
        <f t="shared" si="2"/>
        <v>0</v>
      </c>
      <c r="D19" s="172"/>
      <c r="E19" s="172"/>
      <c r="F19" s="169">
        <f t="shared" si="0"/>
        <v>223455050000</v>
      </c>
      <c r="G19" s="172">
        <f>'Can doi'!H11</f>
        <v>223455050000</v>
      </c>
      <c r="H19" s="172"/>
      <c r="I19" s="170"/>
      <c r="J19" s="170"/>
      <c r="K19" s="170"/>
      <c r="L19" s="78" t="s">
        <v>252</v>
      </c>
      <c r="M19" s="73">
        <v>20015</v>
      </c>
      <c r="N19" s="164">
        <v>9444</v>
      </c>
      <c r="O19" s="164">
        <v>23981</v>
      </c>
    </row>
    <row r="20" spans="1:15" ht="15">
      <c r="A20" s="80" t="s">
        <v>121</v>
      </c>
      <c r="B20" s="184" t="s">
        <v>297</v>
      </c>
      <c r="C20" s="169">
        <f>D20+E20</f>
        <v>1000000000</v>
      </c>
      <c r="D20" s="172">
        <v>1000000000</v>
      </c>
      <c r="E20" s="172"/>
      <c r="F20" s="169">
        <f t="shared" si="0"/>
        <v>1000000000</v>
      </c>
      <c r="G20" s="172">
        <v>1000000000</v>
      </c>
      <c r="H20" s="172"/>
      <c r="I20" s="170">
        <f t="shared" si="1"/>
        <v>1</v>
      </c>
      <c r="J20" s="170">
        <f>G20/D20</f>
        <v>1</v>
      </c>
      <c r="K20" s="170"/>
      <c r="L20" s="73"/>
      <c r="M20" s="73">
        <v>89588</v>
      </c>
      <c r="N20" s="164">
        <f>SUM(N12:N19)</f>
        <v>205796.926</v>
      </c>
      <c r="O20" s="164">
        <f>SUM(O12:O19)</f>
        <v>298239</v>
      </c>
    </row>
    <row r="21" spans="1:13" ht="15">
      <c r="A21" s="82" t="s">
        <v>123</v>
      </c>
      <c r="B21" s="184" t="s">
        <v>298</v>
      </c>
      <c r="C21" s="169">
        <f>D21+E21</f>
        <v>95160000000</v>
      </c>
      <c r="D21" s="172">
        <f>'PL08-B03'!D61-E21</f>
        <v>60160000000</v>
      </c>
      <c r="E21" s="172">
        <v>35000000000</v>
      </c>
      <c r="F21" s="169">
        <f t="shared" si="0"/>
        <v>0</v>
      </c>
      <c r="G21" s="174"/>
      <c r="H21" s="174"/>
      <c r="I21" s="170"/>
      <c r="J21" s="170"/>
      <c r="K21" s="170"/>
      <c r="L21" s="81"/>
      <c r="M21" s="81"/>
    </row>
    <row r="22" spans="1:13" ht="27">
      <c r="A22" s="167" t="s">
        <v>300</v>
      </c>
      <c r="B22" s="182" t="s">
        <v>299</v>
      </c>
      <c r="C22" s="169">
        <f t="shared" si="2"/>
        <v>0</v>
      </c>
      <c r="D22" s="175"/>
      <c r="E22" s="175"/>
      <c r="F22" s="169">
        <f t="shared" si="0"/>
        <v>1490927893816</v>
      </c>
      <c r="G22" s="176">
        <f>'Can doi'!H15</f>
        <v>1153340146787</v>
      </c>
      <c r="H22" s="176">
        <f>'Can doi'!I15+'Can doi'!J15</f>
        <v>337587747029</v>
      </c>
      <c r="I22" s="170"/>
      <c r="J22" s="170"/>
      <c r="K22" s="170"/>
      <c r="L22" s="83"/>
      <c r="M22" s="83"/>
    </row>
    <row r="23" spans="1:13" ht="15">
      <c r="A23" s="167" t="s">
        <v>312</v>
      </c>
      <c r="B23" s="185" t="s">
        <v>301</v>
      </c>
      <c r="C23" s="169">
        <f t="shared" si="2"/>
        <v>0</v>
      </c>
      <c r="D23" s="177"/>
      <c r="E23" s="177"/>
      <c r="F23" s="169">
        <f t="shared" si="0"/>
        <v>55464540634</v>
      </c>
      <c r="G23" s="178">
        <f>'Can doi'!H16</f>
        <v>0</v>
      </c>
      <c r="H23" s="178">
        <f>'Can doi'!I16+'Can doi'!J16</f>
        <v>55464540634</v>
      </c>
      <c r="I23" s="170"/>
      <c r="J23" s="170"/>
      <c r="K23" s="170"/>
      <c r="L23" s="78"/>
      <c r="M23" s="78"/>
    </row>
    <row r="24" spans="1:15" s="468" customFormat="1" ht="27">
      <c r="A24" s="461" t="s">
        <v>315</v>
      </c>
      <c r="B24" s="462" t="s">
        <v>302</v>
      </c>
      <c r="C24" s="463">
        <f>D24+E24</f>
        <v>260000000000</v>
      </c>
      <c r="D24" s="464">
        <f>'PL08-B03'!D64-E24</f>
        <v>173000000000</v>
      </c>
      <c r="E24" s="464">
        <v>87000000000</v>
      </c>
      <c r="F24" s="463">
        <f t="shared" si="0"/>
        <v>167710820340</v>
      </c>
      <c r="G24" s="464">
        <f>'Can doi'!H18</f>
        <v>56850509969</v>
      </c>
      <c r="H24" s="464">
        <f>'Can doi'!I18+'Can doi'!J18</f>
        <v>110860310371</v>
      </c>
      <c r="I24" s="465">
        <f t="shared" si="1"/>
        <v>0.6450416166923076</v>
      </c>
      <c r="J24" s="465">
        <f>G24/D24</f>
        <v>0.32861566456069363</v>
      </c>
      <c r="K24" s="465">
        <f>H24/E24</f>
        <v>1.274256441045977</v>
      </c>
      <c r="L24" s="466"/>
      <c r="M24" s="466"/>
      <c r="N24" s="467"/>
      <c r="O24" s="467"/>
    </row>
    <row r="25" spans="1:13" ht="25.5" customHeight="1">
      <c r="A25" s="84"/>
      <c r="B25" s="843" t="s">
        <v>729</v>
      </c>
      <c r="C25" s="843"/>
      <c r="D25" s="843"/>
      <c r="E25" s="843"/>
      <c r="F25" s="86"/>
      <c r="G25" s="681" t="s">
        <v>729</v>
      </c>
      <c r="H25" s="681"/>
      <c r="I25" s="681"/>
      <c r="J25" s="681"/>
      <c r="K25" s="86"/>
      <c r="L25" s="86"/>
      <c r="M25" s="86"/>
    </row>
    <row r="26" spans="1:13" ht="15">
      <c r="A26" s="84"/>
      <c r="B26" s="87" t="s">
        <v>208</v>
      </c>
      <c r="C26" s="186"/>
      <c r="D26" s="85"/>
      <c r="E26" s="86"/>
      <c r="F26" s="86"/>
      <c r="G26" s="844" t="s">
        <v>286</v>
      </c>
      <c r="H26" s="844"/>
      <c r="I26" s="844"/>
      <c r="J26" s="844"/>
      <c r="K26" s="86"/>
      <c r="L26" s="86"/>
      <c r="M26" s="86"/>
    </row>
    <row r="27" spans="1:13" ht="15">
      <c r="A27" s="84"/>
      <c r="C27" s="236"/>
      <c r="D27" s="85"/>
      <c r="E27" s="86"/>
      <c r="F27" s="86"/>
      <c r="G27" s="844" t="s">
        <v>188</v>
      </c>
      <c r="H27" s="844"/>
      <c r="I27" s="844"/>
      <c r="J27" s="844"/>
      <c r="K27" s="86"/>
      <c r="L27" s="86"/>
      <c r="M27" s="86"/>
    </row>
    <row r="28" spans="1:13" ht="18">
      <c r="A28" s="68"/>
      <c r="B28" s="88"/>
      <c r="C28" s="237">
        <f>C9-'PL08-B03'!D75</f>
        <v>-1000000000</v>
      </c>
      <c r="D28" s="88"/>
      <c r="E28" s="88"/>
      <c r="F28" s="88"/>
      <c r="G28" s="88"/>
      <c r="H28" s="88"/>
      <c r="I28" s="88"/>
      <c r="J28" s="89"/>
      <c r="K28" s="88"/>
      <c r="L28" s="65"/>
      <c r="M28" s="65"/>
    </row>
    <row r="29" spans="1:13" ht="18">
      <c r="A29" s="68"/>
      <c r="B29" s="88"/>
      <c r="C29" s="238"/>
      <c r="D29" s="88"/>
      <c r="E29" s="88"/>
      <c r="F29" s="88"/>
      <c r="G29" s="88"/>
      <c r="H29" s="88"/>
      <c r="I29" s="90"/>
      <c r="J29" s="91"/>
      <c r="K29" s="88"/>
      <c r="L29" s="65"/>
      <c r="M29" s="65"/>
    </row>
    <row r="30" spans="1:15" s="249" customFormat="1" ht="9.75">
      <c r="A30" s="250"/>
      <c r="B30" s="251"/>
      <c r="C30" s="305">
        <f>'PL08-B03'!D73</f>
        <v>0</v>
      </c>
      <c r="D30" s="251"/>
      <c r="E30" s="251"/>
      <c r="F30" s="253">
        <f>'PL6.35'!E28</f>
        <v>9191008222447</v>
      </c>
      <c r="G30" s="251"/>
      <c r="H30" s="251"/>
      <c r="I30" s="251"/>
      <c r="J30" s="254"/>
      <c r="K30" s="251"/>
      <c r="L30" s="251"/>
      <c r="M30" s="251"/>
      <c r="N30" s="248"/>
      <c r="O30" s="248"/>
    </row>
    <row r="31" spans="1:15" s="249" customFormat="1" ht="9.75">
      <c r="A31" s="250"/>
      <c r="B31" s="251"/>
      <c r="C31" s="252"/>
      <c r="D31" s="251"/>
      <c r="E31" s="251"/>
      <c r="F31" s="253">
        <f>F30-F9</f>
        <v>0</v>
      </c>
      <c r="G31" s="251"/>
      <c r="H31" s="251"/>
      <c r="I31" s="251"/>
      <c r="J31" s="251"/>
      <c r="K31" s="251"/>
      <c r="L31" s="251"/>
      <c r="M31" s="251"/>
      <c r="N31" s="248"/>
      <c r="O31" s="248"/>
    </row>
    <row r="32" spans="1:15" s="249" customFormat="1" ht="9.75">
      <c r="A32" s="250"/>
      <c r="B32" s="251"/>
      <c r="C32" s="251"/>
      <c r="D32" s="251"/>
      <c r="E32" s="251"/>
      <c r="F32" s="251"/>
      <c r="G32" s="251"/>
      <c r="H32" s="251"/>
      <c r="I32" s="251"/>
      <c r="J32" s="255"/>
      <c r="K32" s="251"/>
      <c r="L32" s="251">
        <v>1</v>
      </c>
      <c r="M32" s="251"/>
      <c r="N32" s="248"/>
      <c r="O32" s="248"/>
    </row>
    <row r="33" spans="14:15" s="165" customFormat="1" ht="12.75">
      <c r="N33" s="198"/>
      <c r="O33" s="198"/>
    </row>
    <row r="34" spans="14:15" s="165" customFormat="1" ht="12.75">
      <c r="N34" s="198"/>
      <c r="O34" s="198"/>
    </row>
    <row r="35" spans="14:15" s="165" customFormat="1" ht="12.75">
      <c r="N35" s="198"/>
      <c r="O35" s="198"/>
    </row>
  </sheetData>
  <sheetProtection/>
  <mergeCells count="11">
    <mergeCell ref="H1:K1"/>
    <mergeCell ref="F6:F7"/>
    <mergeCell ref="A1:B1"/>
    <mergeCell ref="A5:A7"/>
    <mergeCell ref="B5:B7"/>
    <mergeCell ref="C6:C7"/>
    <mergeCell ref="A3:K3"/>
    <mergeCell ref="A2:K2"/>
    <mergeCell ref="B25:E25"/>
    <mergeCell ref="G26:J26"/>
    <mergeCell ref="G27:J27"/>
  </mergeCells>
  <printOptions/>
  <pageMargins left="0.23" right="0.17" top="0.2" bottom="0.31" header="0.18" footer="0.3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7">
      <pane xSplit="4" ySplit="7" topLeftCell="E14" activePane="bottomRight" state="frozen"/>
      <selection pane="topLeft" activeCell="A7" sqref="A7"/>
      <selection pane="topRight" activeCell="E7" sqref="E7"/>
      <selection pane="bottomLeft" activeCell="A14" sqref="A14"/>
      <selection pane="bottomRight" activeCell="T21" sqref="T21"/>
    </sheetView>
  </sheetViews>
  <sheetFormatPr defaultColWidth="9.140625" defaultRowHeight="12.75"/>
  <cols>
    <col min="1" max="1" width="4.28125" style="195" customWidth="1"/>
    <col min="2" max="2" width="21.140625" style="229" customWidth="1"/>
    <col min="3" max="3" width="11.28125" style="211" hidden="1" customWidth="1"/>
    <col min="4" max="4" width="10.28125" style="211" hidden="1" customWidth="1"/>
    <col min="5" max="6" width="10.00390625" style="211" customWidth="1"/>
    <col min="7" max="7" width="8.28125" style="211" customWidth="1"/>
    <col min="8" max="8" width="8.00390625" style="211" customWidth="1"/>
    <col min="9" max="9" width="0.13671875" style="211" hidden="1" customWidth="1"/>
    <col min="10" max="10" width="9.8515625" style="211" customWidth="1"/>
    <col min="11" max="11" width="10.140625" style="211" customWidth="1"/>
    <col min="12" max="12" width="9.8515625" style="211" customWidth="1"/>
    <col min="13" max="13" width="6.57421875" style="211" customWidth="1"/>
    <col min="14" max="14" width="1.57421875" style="211" hidden="1" customWidth="1"/>
    <col min="15" max="15" width="7.57421875" style="232" customWidth="1"/>
    <col min="16" max="16" width="16.28125" style="211" hidden="1" customWidth="1"/>
    <col min="17" max="17" width="15.8515625" style="298" bestFit="1" customWidth="1"/>
    <col min="18" max="18" width="13.8515625" style="298" bestFit="1" customWidth="1"/>
    <col min="19" max="16384" width="9.140625" style="211" customWidth="1"/>
  </cols>
  <sheetData>
    <row r="1" spans="1:16" ht="23.25" customHeight="1">
      <c r="A1" s="203" t="s">
        <v>447</v>
      </c>
      <c r="B1" s="209"/>
      <c r="C1" s="210"/>
      <c r="D1" s="210"/>
      <c r="E1" s="210"/>
      <c r="F1" s="210"/>
      <c r="G1" s="210"/>
      <c r="H1" s="210"/>
      <c r="I1" s="210"/>
      <c r="J1" s="210"/>
      <c r="L1" s="233" t="s">
        <v>448</v>
      </c>
      <c r="M1" s="210"/>
      <c r="N1" s="210"/>
      <c r="O1" s="231"/>
      <c r="P1" s="212"/>
    </row>
    <row r="2" spans="1:16" ht="16.5">
      <c r="A2" s="203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09"/>
      <c r="M2" s="210"/>
      <c r="N2" s="210"/>
      <c r="O2" s="231"/>
      <c r="P2" s="212"/>
    </row>
    <row r="3" spans="1:16" ht="25.5" customHeight="1">
      <c r="A3" s="856" t="s">
        <v>464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213"/>
    </row>
    <row r="4" spans="1:16" ht="16.5" customHeight="1">
      <c r="A4" s="798" t="s">
        <v>597</v>
      </c>
      <c r="B4" s="798"/>
      <c r="C4" s="798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213"/>
    </row>
    <row r="5" spans="1:16" ht="18" customHeight="1">
      <c r="A5" s="857" t="s">
        <v>429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213"/>
    </row>
    <row r="6" spans="2:16" ht="26.25" customHeight="1" thickBot="1">
      <c r="B6" s="214"/>
      <c r="C6" s="214"/>
      <c r="D6" s="214"/>
      <c r="E6" s="214"/>
      <c r="F6" s="214"/>
      <c r="G6" s="215"/>
      <c r="H6" s="215"/>
      <c r="I6" s="215"/>
      <c r="J6" s="215"/>
      <c r="K6" s="215"/>
      <c r="L6" s="215"/>
      <c r="M6" s="256" t="s">
        <v>450</v>
      </c>
      <c r="N6" s="215"/>
      <c r="O6" s="231"/>
      <c r="P6" s="200" t="s">
        <v>430</v>
      </c>
    </row>
    <row r="7" spans="1:18" s="217" customFormat="1" ht="22.5" customHeight="1">
      <c r="A7" s="853" t="s">
        <v>12</v>
      </c>
      <c r="B7" s="853" t="s">
        <v>460</v>
      </c>
      <c r="C7" s="272" t="s">
        <v>431</v>
      </c>
      <c r="D7" s="272" t="s">
        <v>432</v>
      </c>
      <c r="E7" s="850" t="s">
        <v>590</v>
      </c>
      <c r="F7" s="851"/>
      <c r="G7" s="851"/>
      <c r="H7" s="852"/>
      <c r="I7" s="273"/>
      <c r="J7" s="850" t="s">
        <v>591</v>
      </c>
      <c r="K7" s="851"/>
      <c r="L7" s="851"/>
      <c r="M7" s="852"/>
      <c r="N7" s="273"/>
      <c r="O7" s="853" t="s">
        <v>144</v>
      </c>
      <c r="P7" s="216"/>
      <c r="Q7" s="299"/>
      <c r="R7" s="299"/>
    </row>
    <row r="8" spans="1:18" s="217" customFormat="1" ht="21">
      <c r="A8" s="854"/>
      <c r="B8" s="854"/>
      <c r="C8" s="272" t="s">
        <v>433</v>
      </c>
      <c r="D8" s="272" t="s">
        <v>434</v>
      </c>
      <c r="E8" s="853" t="s">
        <v>145</v>
      </c>
      <c r="F8" s="850" t="s">
        <v>207</v>
      </c>
      <c r="G8" s="851"/>
      <c r="H8" s="852"/>
      <c r="I8" s="273"/>
      <c r="J8" s="853" t="s">
        <v>145</v>
      </c>
      <c r="K8" s="850" t="s">
        <v>207</v>
      </c>
      <c r="L8" s="851"/>
      <c r="M8" s="852"/>
      <c r="N8" s="273"/>
      <c r="O8" s="854"/>
      <c r="P8" s="218" t="s">
        <v>435</v>
      </c>
      <c r="Q8" s="299"/>
      <c r="R8" s="299"/>
    </row>
    <row r="9" spans="1:18" s="217" customFormat="1" ht="21.75" customHeight="1">
      <c r="A9" s="854"/>
      <c r="B9" s="854"/>
      <c r="C9" s="272"/>
      <c r="D9" s="272"/>
      <c r="E9" s="854"/>
      <c r="F9" s="853" t="s">
        <v>135</v>
      </c>
      <c r="G9" s="858" t="s">
        <v>461</v>
      </c>
      <c r="H9" s="859"/>
      <c r="I9" s="274"/>
      <c r="J9" s="854"/>
      <c r="K9" s="853" t="s">
        <v>135</v>
      </c>
      <c r="L9" s="858" t="s">
        <v>461</v>
      </c>
      <c r="M9" s="859"/>
      <c r="N9" s="274"/>
      <c r="O9" s="854"/>
      <c r="P9" s="218" t="s">
        <v>436</v>
      </c>
      <c r="Q9" s="299"/>
      <c r="R9" s="299"/>
    </row>
    <row r="10" spans="1:18" s="219" customFormat="1" ht="16.5" customHeight="1">
      <c r="A10" s="854"/>
      <c r="B10" s="854"/>
      <c r="C10" s="272"/>
      <c r="D10" s="272"/>
      <c r="E10" s="854"/>
      <c r="F10" s="854"/>
      <c r="G10" s="853" t="s">
        <v>145</v>
      </c>
      <c r="H10" s="853" t="s">
        <v>462</v>
      </c>
      <c r="I10" s="272" t="s">
        <v>437</v>
      </c>
      <c r="J10" s="854"/>
      <c r="K10" s="854"/>
      <c r="L10" s="853" t="s">
        <v>145</v>
      </c>
      <c r="M10" s="853" t="s">
        <v>462</v>
      </c>
      <c r="N10" s="272" t="s">
        <v>437</v>
      </c>
      <c r="O10" s="854"/>
      <c r="P10" s="218" t="s">
        <v>438</v>
      </c>
      <c r="Q10" s="300"/>
      <c r="R10" s="300"/>
    </row>
    <row r="11" spans="1:18" s="219" customFormat="1" ht="16.5" customHeight="1">
      <c r="A11" s="854"/>
      <c r="B11" s="854"/>
      <c r="C11" s="272"/>
      <c r="D11" s="272"/>
      <c r="E11" s="854"/>
      <c r="F11" s="854"/>
      <c r="G11" s="854"/>
      <c r="H11" s="854"/>
      <c r="I11" s="272" t="s">
        <v>439</v>
      </c>
      <c r="J11" s="854"/>
      <c r="K11" s="854"/>
      <c r="L11" s="854"/>
      <c r="M11" s="854"/>
      <c r="N11" s="272" t="s">
        <v>439</v>
      </c>
      <c r="O11" s="854"/>
      <c r="P11" s="218" t="s">
        <v>440</v>
      </c>
      <c r="Q11" s="300"/>
      <c r="R11" s="300"/>
    </row>
    <row r="12" spans="1:18" s="219" customFormat="1" ht="50.25" customHeight="1">
      <c r="A12" s="855"/>
      <c r="B12" s="855"/>
      <c r="C12" s="272"/>
      <c r="D12" s="272"/>
      <c r="E12" s="855"/>
      <c r="F12" s="855"/>
      <c r="G12" s="855"/>
      <c r="H12" s="855"/>
      <c r="I12" s="272" t="s">
        <v>441</v>
      </c>
      <c r="J12" s="855"/>
      <c r="K12" s="855"/>
      <c r="L12" s="855"/>
      <c r="M12" s="855"/>
      <c r="N12" s="272" t="s">
        <v>441</v>
      </c>
      <c r="O12" s="855"/>
      <c r="P12" s="220"/>
      <c r="Q12" s="300"/>
      <c r="R12" s="300"/>
    </row>
    <row r="13" spans="1:18" s="219" customFormat="1" ht="16.5" customHeight="1">
      <c r="A13" s="275" t="s">
        <v>13</v>
      </c>
      <c r="B13" s="276" t="s">
        <v>14</v>
      </c>
      <c r="C13" s="276">
        <v>1</v>
      </c>
      <c r="D13" s="276" t="s">
        <v>442</v>
      </c>
      <c r="E13" s="277">
        <v>1</v>
      </c>
      <c r="F13" s="277">
        <v>2</v>
      </c>
      <c r="G13" s="278">
        <v>3</v>
      </c>
      <c r="H13" s="278">
        <v>4</v>
      </c>
      <c r="I13" s="278">
        <v>5</v>
      </c>
      <c r="J13" s="278">
        <v>6</v>
      </c>
      <c r="K13" s="278">
        <v>7</v>
      </c>
      <c r="L13" s="278">
        <v>8</v>
      </c>
      <c r="M13" s="278">
        <v>9</v>
      </c>
      <c r="N13" s="278">
        <v>10</v>
      </c>
      <c r="O13" s="278">
        <v>10</v>
      </c>
      <c r="P13" s="221">
        <v>12</v>
      </c>
      <c r="Q13" s="300"/>
      <c r="R13" s="300"/>
    </row>
    <row r="14" spans="1:18" s="285" customFormat="1" ht="30.75">
      <c r="A14" s="286" t="s">
        <v>443</v>
      </c>
      <c r="B14" s="296" t="s">
        <v>451</v>
      </c>
      <c r="C14" s="280"/>
      <c r="D14" s="281"/>
      <c r="E14" s="279">
        <f>SUM(E15:E21)</f>
        <v>455423</v>
      </c>
      <c r="F14" s="279">
        <f>SUM(F15:F21)</f>
        <v>249235</v>
      </c>
      <c r="G14" s="279">
        <f aca="true" t="shared" si="0" ref="G14:M14">SUM(G15:G21)</f>
        <v>206188</v>
      </c>
      <c r="H14" s="279">
        <f t="shared" si="0"/>
        <v>0</v>
      </c>
      <c r="I14" s="279">
        <f t="shared" si="0"/>
        <v>0</v>
      </c>
      <c r="J14" s="279">
        <f>SUM(J15:J21)</f>
        <v>531000</v>
      </c>
      <c r="K14" s="279">
        <f>SUM(K15:K21)</f>
        <v>249235</v>
      </c>
      <c r="L14" s="279">
        <f>SUM(L15:L21)</f>
        <v>281765</v>
      </c>
      <c r="M14" s="279">
        <f t="shared" si="0"/>
        <v>0</v>
      </c>
      <c r="N14" s="282"/>
      <c r="O14" s="283">
        <f>J14/E14*100</f>
        <v>116.59490188242579</v>
      </c>
      <c r="P14" s="284"/>
      <c r="Q14" s="301">
        <f>'Can doi'!D15/1000000</f>
        <v>2133907.9656</v>
      </c>
      <c r="R14" s="301">
        <f>Q14-L14</f>
        <v>1852142.9656000002</v>
      </c>
    </row>
    <row r="15" spans="1:18" s="219" customFormat="1" ht="24.75" customHeight="1">
      <c r="A15" s="260">
        <v>1</v>
      </c>
      <c r="B15" s="257" t="s">
        <v>452</v>
      </c>
      <c r="C15" s="258"/>
      <c r="D15" s="222"/>
      <c r="E15" s="262">
        <f>F15+G15</f>
        <v>0</v>
      </c>
      <c r="F15" s="263"/>
      <c r="G15" s="297"/>
      <c r="H15" s="264"/>
      <c r="I15" s="264"/>
      <c r="J15" s="264">
        <f>SUM(K15:L15)</f>
        <v>0</v>
      </c>
      <c r="K15" s="263"/>
      <c r="L15" s="263"/>
      <c r="M15" s="265"/>
      <c r="N15" s="265"/>
      <c r="O15" s="265" t="e">
        <f aca="true" t="shared" si="1" ref="O15:O29">J15/E15*100</f>
        <v>#DIV/0!</v>
      </c>
      <c r="P15" s="223"/>
      <c r="Q15" s="300"/>
      <c r="R15" s="300"/>
    </row>
    <row r="16" spans="1:18" s="219" customFormat="1" ht="24.75" customHeight="1">
      <c r="A16" s="260">
        <v>2</v>
      </c>
      <c r="B16" s="257" t="s">
        <v>453</v>
      </c>
      <c r="C16" s="258"/>
      <c r="D16" s="222"/>
      <c r="E16" s="262">
        <f aca="true" t="shared" si="2" ref="E16:E21">F16+G16</f>
        <v>0</v>
      </c>
      <c r="F16" s="263"/>
      <c r="G16" s="263"/>
      <c r="H16" s="264"/>
      <c r="I16" s="264"/>
      <c r="J16" s="264">
        <f aca="true" t="shared" si="3" ref="J16:J21">SUM(K16:L16)</f>
        <v>0</v>
      </c>
      <c r="K16" s="263"/>
      <c r="L16" s="263"/>
      <c r="M16" s="265"/>
      <c r="N16" s="265"/>
      <c r="O16" s="265" t="e">
        <f t="shared" si="1"/>
        <v>#DIV/0!</v>
      </c>
      <c r="P16" s="223"/>
      <c r="Q16" s="300"/>
      <c r="R16" s="300"/>
    </row>
    <row r="17" spans="1:18" s="219" customFormat="1" ht="24.75" customHeight="1">
      <c r="A17" s="260">
        <v>3</v>
      </c>
      <c r="B17" s="257" t="s">
        <v>454</v>
      </c>
      <c r="C17" s="258"/>
      <c r="D17" s="222"/>
      <c r="E17" s="262">
        <f t="shared" si="2"/>
        <v>0</v>
      </c>
      <c r="F17" s="263"/>
      <c r="G17" s="263"/>
      <c r="H17" s="264"/>
      <c r="I17" s="264"/>
      <c r="J17" s="264">
        <f t="shared" si="3"/>
        <v>0</v>
      </c>
      <c r="K17" s="263"/>
      <c r="L17" s="263"/>
      <c r="M17" s="265"/>
      <c r="N17" s="265"/>
      <c r="O17" s="265" t="e">
        <f t="shared" si="1"/>
        <v>#DIV/0!</v>
      </c>
      <c r="P17" s="223"/>
      <c r="Q17" s="300">
        <v>670878</v>
      </c>
      <c r="R17" s="300"/>
    </row>
    <row r="18" spans="1:18" s="219" customFormat="1" ht="24.75" customHeight="1">
      <c r="A18" s="260">
        <v>4</v>
      </c>
      <c r="B18" s="257" t="s">
        <v>455</v>
      </c>
      <c r="C18" s="258"/>
      <c r="D18" s="222"/>
      <c r="E18" s="262">
        <f t="shared" si="2"/>
        <v>0</v>
      </c>
      <c r="F18" s="263"/>
      <c r="G18" s="263"/>
      <c r="H18" s="264"/>
      <c r="I18" s="264"/>
      <c r="J18" s="264">
        <f t="shared" si="3"/>
        <v>0</v>
      </c>
      <c r="K18" s="263"/>
      <c r="L18" s="263"/>
      <c r="M18" s="265"/>
      <c r="N18" s="265"/>
      <c r="O18" s="265" t="e">
        <f t="shared" si="1"/>
        <v>#DIV/0!</v>
      </c>
      <c r="P18" s="223"/>
      <c r="Q18" s="300"/>
      <c r="R18" s="300"/>
    </row>
    <row r="19" spans="1:18" s="219" customFormat="1" ht="24.75" customHeight="1">
      <c r="A19" s="260">
        <v>5</v>
      </c>
      <c r="B19" s="257" t="s">
        <v>456</v>
      </c>
      <c r="C19" s="258"/>
      <c r="D19" s="222"/>
      <c r="E19" s="262">
        <f t="shared" si="2"/>
        <v>0</v>
      </c>
      <c r="F19" s="263"/>
      <c r="G19" s="263"/>
      <c r="H19" s="264"/>
      <c r="I19" s="264"/>
      <c r="J19" s="264">
        <f t="shared" si="3"/>
        <v>0</v>
      </c>
      <c r="K19" s="263"/>
      <c r="L19" s="263"/>
      <c r="M19" s="265"/>
      <c r="N19" s="265"/>
      <c r="O19" s="265" t="e">
        <f t="shared" si="1"/>
        <v>#DIV/0!</v>
      </c>
      <c r="P19" s="223"/>
      <c r="Q19" s="300"/>
      <c r="R19" s="300"/>
    </row>
    <row r="20" spans="1:18" s="219" customFormat="1" ht="24.75" customHeight="1">
      <c r="A20" s="260">
        <v>6</v>
      </c>
      <c r="B20" s="257" t="s">
        <v>457</v>
      </c>
      <c r="C20" s="258"/>
      <c r="D20" s="222"/>
      <c r="E20" s="262">
        <f t="shared" si="2"/>
        <v>0</v>
      </c>
      <c r="F20" s="263"/>
      <c r="G20" s="263"/>
      <c r="H20" s="264"/>
      <c r="I20" s="264"/>
      <c r="J20" s="264">
        <f t="shared" si="3"/>
        <v>0</v>
      </c>
      <c r="K20" s="263"/>
      <c r="L20" s="263"/>
      <c r="M20" s="265"/>
      <c r="N20" s="265"/>
      <c r="O20" s="265" t="e">
        <f t="shared" si="1"/>
        <v>#DIV/0!</v>
      </c>
      <c r="P20" s="223"/>
      <c r="Q20" s="300"/>
      <c r="R20" s="300"/>
    </row>
    <row r="21" spans="1:18" s="219" customFormat="1" ht="24.75" customHeight="1">
      <c r="A21" s="260">
        <v>7</v>
      </c>
      <c r="B21" s="257" t="s">
        <v>458</v>
      </c>
      <c r="C21" s="258"/>
      <c r="D21" s="222"/>
      <c r="E21" s="262">
        <f t="shared" si="2"/>
        <v>455423</v>
      </c>
      <c r="F21" s="263">
        <v>249235</v>
      </c>
      <c r="G21" s="263">
        <v>206188</v>
      </c>
      <c r="H21" s="264"/>
      <c r="I21" s="264"/>
      <c r="J21" s="264">
        <f t="shared" si="3"/>
        <v>531000</v>
      </c>
      <c r="K21" s="263">
        <v>249235</v>
      </c>
      <c r="L21" s="263">
        <v>281765</v>
      </c>
      <c r="M21" s="265"/>
      <c r="N21" s="265"/>
      <c r="O21" s="265">
        <f t="shared" si="1"/>
        <v>116.59490188242579</v>
      </c>
      <c r="P21" s="223"/>
      <c r="Q21" s="300"/>
      <c r="R21" s="300"/>
    </row>
    <row r="22" spans="1:18" s="295" customFormat="1" ht="30.75">
      <c r="A22" s="287" t="s">
        <v>444</v>
      </c>
      <c r="B22" s="288" t="s">
        <v>459</v>
      </c>
      <c r="C22" s="289"/>
      <c r="D22" s="290"/>
      <c r="E22" s="291">
        <f>SUM(E23:E29)</f>
        <v>97728</v>
      </c>
      <c r="F22" s="291">
        <f aca="true" t="shared" si="4" ref="F22:P22">SUM(F23:F29)</f>
        <v>38969</v>
      </c>
      <c r="G22" s="291">
        <f t="shared" si="4"/>
        <v>58759</v>
      </c>
      <c r="H22" s="291"/>
      <c r="I22" s="291">
        <f t="shared" si="4"/>
        <v>0</v>
      </c>
      <c r="J22" s="291">
        <f t="shared" si="4"/>
        <v>120890</v>
      </c>
      <c r="K22" s="291">
        <f t="shared" si="4"/>
        <v>38969</v>
      </c>
      <c r="L22" s="291">
        <f t="shared" si="4"/>
        <v>81921</v>
      </c>
      <c r="M22" s="292"/>
      <c r="N22" s="292">
        <f t="shared" si="4"/>
        <v>0</v>
      </c>
      <c r="O22" s="293">
        <f t="shared" si="1"/>
        <v>123.70047478716437</v>
      </c>
      <c r="P22" s="294">
        <f t="shared" si="4"/>
        <v>0</v>
      </c>
      <c r="Q22" s="302"/>
      <c r="R22" s="302"/>
    </row>
    <row r="23" spans="1:16" ht="21.75" customHeight="1">
      <c r="A23" s="260">
        <v>1</v>
      </c>
      <c r="B23" s="257" t="s">
        <v>452</v>
      </c>
      <c r="C23" s="207"/>
      <c r="D23" s="224"/>
      <c r="E23" s="264">
        <f aca="true" t="shared" si="5" ref="E23:E29">F23+G23</f>
        <v>0</v>
      </c>
      <c r="F23" s="263"/>
      <c r="G23" s="264"/>
      <c r="H23" s="264"/>
      <c r="I23" s="264"/>
      <c r="J23" s="264">
        <f aca="true" t="shared" si="6" ref="J23:J29">K23+L23</f>
        <v>0</v>
      </c>
      <c r="K23" s="263"/>
      <c r="L23" s="263"/>
      <c r="M23" s="266"/>
      <c r="N23" s="266"/>
      <c r="O23" s="265" t="e">
        <f t="shared" si="1"/>
        <v>#DIV/0!</v>
      </c>
      <c r="P23" s="225"/>
    </row>
    <row r="24" spans="1:16" ht="21.75" customHeight="1">
      <c r="A24" s="260">
        <v>2</v>
      </c>
      <c r="B24" s="257" t="s">
        <v>453</v>
      </c>
      <c r="C24" s="207"/>
      <c r="D24" s="224"/>
      <c r="E24" s="264">
        <f t="shared" si="5"/>
        <v>0</v>
      </c>
      <c r="F24" s="263"/>
      <c r="G24" s="264"/>
      <c r="H24" s="264"/>
      <c r="I24" s="264"/>
      <c r="J24" s="264">
        <f t="shared" si="6"/>
        <v>0</v>
      </c>
      <c r="K24" s="263"/>
      <c r="L24" s="263"/>
      <c r="M24" s="266"/>
      <c r="N24" s="266"/>
      <c r="O24" s="265" t="e">
        <f t="shared" si="1"/>
        <v>#DIV/0!</v>
      </c>
      <c r="P24" s="225"/>
    </row>
    <row r="25" spans="1:16" ht="21.75" customHeight="1">
      <c r="A25" s="260">
        <v>3</v>
      </c>
      <c r="B25" s="257" t="s">
        <v>454</v>
      </c>
      <c r="C25" s="207"/>
      <c r="D25" s="224"/>
      <c r="E25" s="264">
        <f t="shared" si="5"/>
        <v>0</v>
      </c>
      <c r="F25" s="263"/>
      <c r="G25" s="264"/>
      <c r="H25" s="264"/>
      <c r="I25" s="264"/>
      <c r="J25" s="264">
        <f t="shared" si="6"/>
        <v>0</v>
      </c>
      <c r="K25" s="263"/>
      <c r="L25" s="263"/>
      <c r="M25" s="266"/>
      <c r="N25" s="266"/>
      <c r="O25" s="265" t="e">
        <f t="shared" si="1"/>
        <v>#DIV/0!</v>
      </c>
      <c r="P25" s="225"/>
    </row>
    <row r="26" spans="1:16" ht="21.75" customHeight="1">
      <c r="A26" s="260">
        <v>4</v>
      </c>
      <c r="B26" s="257" t="s">
        <v>455</v>
      </c>
      <c r="C26" s="207"/>
      <c r="D26" s="224"/>
      <c r="E26" s="264">
        <f t="shared" si="5"/>
        <v>0</v>
      </c>
      <c r="F26" s="263"/>
      <c r="G26" s="264"/>
      <c r="H26" s="264"/>
      <c r="I26" s="264"/>
      <c r="J26" s="264">
        <f t="shared" si="6"/>
        <v>0</v>
      </c>
      <c r="K26" s="263"/>
      <c r="L26" s="263"/>
      <c r="M26" s="266"/>
      <c r="N26" s="266"/>
      <c r="O26" s="265" t="e">
        <f t="shared" si="1"/>
        <v>#DIV/0!</v>
      </c>
      <c r="P26" s="225"/>
    </row>
    <row r="27" spans="1:16" ht="21.75" customHeight="1">
      <c r="A27" s="260">
        <v>5</v>
      </c>
      <c r="B27" s="257" t="s">
        <v>456</v>
      </c>
      <c r="C27" s="207"/>
      <c r="D27" s="224"/>
      <c r="E27" s="264">
        <f t="shared" si="5"/>
        <v>0</v>
      </c>
      <c r="F27" s="263"/>
      <c r="G27" s="264"/>
      <c r="H27" s="264"/>
      <c r="I27" s="264"/>
      <c r="J27" s="264">
        <f t="shared" si="6"/>
        <v>0</v>
      </c>
      <c r="K27" s="263"/>
      <c r="L27" s="263"/>
      <c r="M27" s="266"/>
      <c r="N27" s="266"/>
      <c r="O27" s="265" t="e">
        <f t="shared" si="1"/>
        <v>#DIV/0!</v>
      </c>
      <c r="P27" s="225"/>
    </row>
    <row r="28" spans="1:16" ht="21.75" customHeight="1">
      <c r="A28" s="260">
        <v>6</v>
      </c>
      <c r="B28" s="257" t="s">
        <v>457</v>
      </c>
      <c r="C28" s="207"/>
      <c r="D28" s="224"/>
      <c r="E28" s="264">
        <f t="shared" si="5"/>
        <v>0</v>
      </c>
      <c r="F28" s="263"/>
      <c r="G28" s="264"/>
      <c r="H28" s="264"/>
      <c r="I28" s="264"/>
      <c r="J28" s="264">
        <f t="shared" si="6"/>
        <v>0</v>
      </c>
      <c r="K28" s="263"/>
      <c r="L28" s="263"/>
      <c r="M28" s="266"/>
      <c r="N28" s="266"/>
      <c r="O28" s="265" t="e">
        <f t="shared" si="1"/>
        <v>#DIV/0!</v>
      </c>
      <c r="P28" s="225"/>
    </row>
    <row r="29" spans="1:16" ht="21.75" customHeight="1">
      <c r="A29" s="261">
        <v>7</v>
      </c>
      <c r="B29" s="259" t="s">
        <v>458</v>
      </c>
      <c r="C29" s="208"/>
      <c r="D29" s="226"/>
      <c r="E29" s="267">
        <f t="shared" si="5"/>
        <v>97728</v>
      </c>
      <c r="F29" s="268">
        <v>38969</v>
      </c>
      <c r="G29" s="267">
        <v>58759</v>
      </c>
      <c r="H29" s="267"/>
      <c r="I29" s="267"/>
      <c r="J29" s="267">
        <f t="shared" si="6"/>
        <v>120890</v>
      </c>
      <c r="K29" s="268">
        <v>38969</v>
      </c>
      <c r="L29" s="268">
        <v>81921</v>
      </c>
      <c r="M29" s="269"/>
      <c r="N29" s="269"/>
      <c r="O29" s="270">
        <f t="shared" si="1"/>
        <v>123.70047478716437</v>
      </c>
      <c r="P29" s="225"/>
    </row>
    <row r="30" spans="1:15" ht="15">
      <c r="A30" s="202"/>
      <c r="B30" s="227"/>
      <c r="C30" s="214"/>
      <c r="D30" s="214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271"/>
    </row>
    <row r="31" spans="1:10" ht="18" customHeight="1">
      <c r="A31" s="202"/>
      <c r="B31" s="304" t="s">
        <v>600</v>
      </c>
      <c r="C31" s="22"/>
      <c r="D31" s="22"/>
      <c r="E31" s="22"/>
      <c r="F31" s="22"/>
      <c r="G31" s="22"/>
      <c r="H31" s="22"/>
      <c r="I31" s="22"/>
      <c r="J31" s="304" t="s">
        <v>599</v>
      </c>
    </row>
    <row r="32" spans="1:15" ht="18" customHeight="1">
      <c r="A32" s="202"/>
      <c r="B32" s="201" t="s">
        <v>208</v>
      </c>
      <c r="C32" s="214"/>
      <c r="D32" s="214"/>
      <c r="E32" s="214"/>
      <c r="F32" s="214"/>
      <c r="G32" s="214"/>
      <c r="H32" s="798" t="s">
        <v>463</v>
      </c>
      <c r="I32" s="798"/>
      <c r="J32" s="798"/>
      <c r="K32" s="798"/>
      <c r="L32" s="798"/>
      <c r="M32" s="798"/>
      <c r="N32" s="798"/>
      <c r="O32" s="798"/>
    </row>
    <row r="33" spans="1:15" ht="18" customHeight="1">
      <c r="A33" s="202"/>
      <c r="C33" s="214"/>
      <c r="D33" s="214"/>
      <c r="E33" s="214"/>
      <c r="F33" s="214"/>
      <c r="G33" s="214"/>
      <c r="H33" s="798" t="s">
        <v>188</v>
      </c>
      <c r="I33" s="798"/>
      <c r="J33" s="798"/>
      <c r="K33" s="798"/>
      <c r="L33" s="798"/>
      <c r="M33" s="798"/>
      <c r="N33" s="798"/>
      <c r="O33" s="798"/>
    </row>
    <row r="34" spans="1:15" ht="15">
      <c r="A34" s="202"/>
      <c r="B34" s="227"/>
      <c r="C34" s="214"/>
      <c r="D34" s="214"/>
      <c r="E34" s="214"/>
      <c r="F34" s="199"/>
      <c r="G34" s="214"/>
      <c r="H34" s="214"/>
      <c r="I34" s="214"/>
      <c r="J34" s="214"/>
      <c r="K34" s="214"/>
      <c r="L34" s="214"/>
      <c r="M34" s="214"/>
      <c r="N34" s="214"/>
      <c r="O34" s="231"/>
    </row>
    <row r="35" spans="1:15" ht="15">
      <c r="A35" s="202"/>
      <c r="B35" s="227"/>
      <c r="C35" s="214"/>
      <c r="D35" s="214"/>
      <c r="E35" s="214"/>
      <c r="F35" s="228"/>
      <c r="G35" s="214"/>
      <c r="H35" s="214"/>
      <c r="I35" s="214"/>
      <c r="J35" s="214"/>
      <c r="K35" s="214"/>
      <c r="L35" s="210"/>
      <c r="M35" s="210"/>
      <c r="N35" s="210"/>
      <c r="O35" s="231"/>
    </row>
    <row r="36" spans="1:15" ht="15">
      <c r="A36" s="202"/>
      <c r="B36" s="227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31"/>
    </row>
    <row r="37" spans="1:2" ht="15">
      <c r="A37" s="202"/>
      <c r="B37" s="230"/>
    </row>
    <row r="38" spans="1:2" ht="15">
      <c r="A38" s="202"/>
      <c r="B38" s="230"/>
    </row>
    <row r="39" spans="1:2" ht="15">
      <c r="A39" s="202"/>
      <c r="B39" s="230"/>
    </row>
  </sheetData>
  <sheetProtection/>
  <mergeCells count="22">
    <mergeCell ref="E7:H7"/>
    <mergeCell ref="F9:F12"/>
    <mergeCell ref="E8:E12"/>
    <mergeCell ref="G10:G12"/>
    <mergeCell ref="H32:O32"/>
    <mergeCell ref="H33:O33"/>
    <mergeCell ref="K8:M8"/>
    <mergeCell ref="L9:M9"/>
    <mergeCell ref="L10:L12"/>
    <mergeCell ref="M10:M12"/>
    <mergeCell ref="O7:O12"/>
    <mergeCell ref="H10:H12"/>
    <mergeCell ref="F8:H8"/>
    <mergeCell ref="J8:J12"/>
    <mergeCell ref="A3:O3"/>
    <mergeCell ref="A4:O4"/>
    <mergeCell ref="A5:O5"/>
    <mergeCell ref="A7:A12"/>
    <mergeCell ref="B7:B12"/>
    <mergeCell ref="J7:M7"/>
    <mergeCell ref="G9:H9"/>
    <mergeCell ref="K9:K12"/>
  </mergeCells>
  <printOptions/>
  <pageMargins left="0" right="0" top="0.31496062992125984" bottom="0.15748031496062992" header="0.3149606299212598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cuongnv</dc:creator>
  <cp:keywords/>
  <dc:description/>
  <cp:lastModifiedBy>VPUB</cp:lastModifiedBy>
  <cp:lastPrinted>2016-11-15T02:41:52Z</cp:lastPrinted>
  <dcterms:created xsi:type="dcterms:W3CDTF">2004-09-10T03:04:08Z</dcterms:created>
  <dcterms:modified xsi:type="dcterms:W3CDTF">2016-11-15T03:21:10Z</dcterms:modified>
  <cp:category/>
  <cp:version/>
  <cp:contentType/>
  <cp:contentStatus/>
</cp:coreProperties>
</file>