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35" windowWidth="28440" windowHeight="16545" activeTab="0"/>
  </bookViews>
  <sheets>
    <sheet name="PA2018" sheetId="1" r:id="rId1"/>
    <sheet name="PA2017" sheetId="2" state="hidden" r:id="rId2"/>
    <sheet name="Sheet2" sheetId="3" state="hidden" r:id="rId3"/>
    <sheet name="B2 SL von cam ket" sheetId="4" r:id="rId4"/>
    <sheet name="Theo doi phan bo" sheetId="5" r:id="rId5"/>
  </sheets>
  <definedNames>
    <definedName name="_xlnm.Print_Area" localSheetId="3">'B2 SL von cam ket'!$A$1:$L$44</definedName>
    <definedName name="_xlnm.Print_Area" localSheetId="1">'PA2017'!$A$1:$I$27</definedName>
    <definedName name="_xlnm.Print_Area" localSheetId="0">'PA2018'!$A$1:$H$11</definedName>
  </definedNames>
  <calcPr fullCalcOnLoad="1"/>
</workbook>
</file>

<file path=xl/sharedStrings.xml><?xml version="1.0" encoding="utf-8"?>
<sst xmlns="http://schemas.openxmlformats.org/spreadsheetml/2006/main" count="554" uniqueCount="244">
  <si>
    <t>TT</t>
  </si>
  <si>
    <t>Xã nghèo, ĐBKK</t>
  </si>
  <si>
    <t>Nhóm xã</t>
  </si>
  <si>
    <t>Xã phấn đấu NTM 2016</t>
  </si>
  <si>
    <t>Xã trên 15 tiêu chí</t>
  </si>
  <si>
    <t>Các xã khác</t>
  </si>
  <si>
    <t>TỔNG CỘNG</t>
  </si>
  <si>
    <t>Hệ số</t>
  </si>
  <si>
    <t>PA1</t>
  </si>
  <si>
    <t>PA2</t>
  </si>
  <si>
    <t>Hệ số điều chỉnh</t>
  </si>
  <si>
    <t>Số lượng (xã)</t>
  </si>
  <si>
    <t>Bình quân/xã (tr. Đồng)</t>
  </si>
  <si>
    <t>TPCP 2014-2016</t>
  </si>
  <si>
    <t>BQ/xã</t>
  </si>
  <si>
    <t>PA3</t>
  </si>
  <si>
    <t>Tổng điểm hệ số</t>
  </si>
  <si>
    <t>Tổng tiền</t>
  </si>
  <si>
    <t>PA phân bổ</t>
  </si>
  <si>
    <t>Tổng tiền PA1</t>
  </si>
  <si>
    <t>Các xã dự kiến phấn đấu đạt chuẩn 2017</t>
  </si>
  <si>
    <t>Lệ Thủy</t>
  </si>
  <si>
    <t>Xuân Thủy</t>
  </si>
  <si>
    <t>Sơn Thủy</t>
  </si>
  <si>
    <t>Cam Thủy</t>
  </si>
  <si>
    <t>Quảng Ninh</t>
  </si>
  <si>
    <t>Duy Ninh</t>
  </si>
  <si>
    <t>Hiền Ninh</t>
  </si>
  <si>
    <t>Bố Trạch</t>
  </si>
  <si>
    <t>Tây Trạch</t>
  </si>
  <si>
    <t>Quảng Trạch</t>
  </si>
  <si>
    <t>Quảng Liên</t>
  </si>
  <si>
    <t>Ba Đồn</t>
  </si>
  <si>
    <t>Quảng Hải</t>
  </si>
  <si>
    <t>Tuyên Hóa</t>
  </si>
  <si>
    <t>Văn Hóa</t>
  </si>
  <si>
    <t>NSTW</t>
  </si>
  <si>
    <t>Tổng</t>
  </si>
  <si>
    <t>Trung Trạch, Đồng Trạch</t>
  </si>
  <si>
    <t>30 xã đã đạt</t>
  </si>
  <si>
    <t>Ghi chú</t>
  </si>
  <si>
    <t>Tổng tiền PA2</t>
  </si>
  <si>
    <t>Tổng KH 2016-2020 đã thông báo</t>
  </si>
  <si>
    <t>Tổng số</t>
  </si>
  <si>
    <t>Huyện</t>
  </si>
  <si>
    <t>Xã</t>
  </si>
  <si>
    <t>Số vốn đã bố trí 2016
(tr. Đồng)</t>
  </si>
  <si>
    <t>Xã điểm phấn đấu đạt chuẩn</t>
  </si>
  <si>
    <t xml:space="preserve">TPCP năm 2016 </t>
  </si>
  <si>
    <t>DỰ KIẾN PHƯƠNG ÁN PHÂN BỔ KẾ HOẠCH TRUNG HẠN VỐN NGÂN SÁCH TRUNG ƯƠNG CHƯƠNG TRÌNH MTQG XÂY DỰNG NÔNG THÔN MỚI GIAI ĐOẠN 2016-2020</t>
  </si>
  <si>
    <t>Xã nghèo, ĐBKK**</t>
  </si>
  <si>
    <t>(theo hệ số dự thảo đang trình TTCP, có phân bổ cho các xã đã đạt chuẩn trong giai đoạn trước)</t>
  </si>
  <si>
    <t>I</t>
  </si>
  <si>
    <t xml:space="preserve">Phương án 1 </t>
  </si>
  <si>
    <t>II</t>
  </si>
  <si>
    <t>Phương án 2</t>
  </si>
  <si>
    <t>DỰ KIẾN PHƯƠNG ÁN PHÂN BỔ KẾ HOẠCH VỐN NGÂN SÁCH TRUNG ƯƠNG CHƯƠNG TRÌNH MTQG XÂY DỰNG NÔNG THÔN MỚI NĂM 2017</t>
  </si>
  <si>
    <t>Trong đó: Xã nghèo</t>
  </si>
  <si>
    <t>Trung Trạch &amp; Đồng Trạch (tăng thêm)</t>
  </si>
  <si>
    <t>(theo hệ số năm 2016)</t>
  </si>
  <si>
    <t>Quảng Trung</t>
  </si>
  <si>
    <t>12 xã năm 2016 không bố trí</t>
  </si>
  <si>
    <t>3 xã điểm nghèo (Quảng Trung, Duy Ninh, Hiền Ninh)</t>
  </si>
  <si>
    <t xml:space="preserve">7 Xã điểm </t>
  </si>
  <si>
    <t>2.800-2.870 (riêng Q Hải 2.210)</t>
  </si>
  <si>
    <t>Trung Trạch và Đồng Trạch</t>
  </si>
  <si>
    <t>31 xã khác + 28 xã đã đạt chuẩn GĐ 2013-2015</t>
  </si>
  <si>
    <t>Phân bổ tối đa gói hỗ trợ 7 tỷ đồng, trừ số đã bố trí 2016 (230 triệu/xã)</t>
  </si>
  <si>
    <t>Phân bổ tối đa hệ số 1,3 của cả GĐ2016-2020 (3.100tr) trừ số đã bố trí 2016</t>
  </si>
  <si>
    <t>9 xã hết bãi ngang</t>
  </si>
  <si>
    <t>4 xã được bãi ngang</t>
  </si>
  <si>
    <t>Quảng Sơn</t>
  </si>
  <si>
    <t>Hiền ninh</t>
  </si>
  <si>
    <t>Ngư Bắc</t>
  </si>
  <si>
    <t>Ngư Trung</t>
  </si>
  <si>
    <t>Ngư Nam</t>
  </si>
  <si>
    <t>Sen Thủy</t>
  </si>
  <si>
    <t>Phú Trạch</t>
  </si>
  <si>
    <t>Quảng Hưng</t>
  </si>
  <si>
    <t>Quảng Lộc</t>
  </si>
  <si>
    <t>Quảng Phú</t>
  </si>
  <si>
    <t>Đã bố trí tối đa hệ số 1,3 của cả GĐ 2016-2020</t>
  </si>
  <si>
    <t>Phân bổ tương đương tối đa hệ số 1,0 của cả GĐ 2016-2020 trừ số đã bố trí 2016</t>
  </si>
  <si>
    <t xml:space="preserve">Phương án </t>
  </si>
  <si>
    <t>Các xã đạt chuẩn năm 2015</t>
  </si>
  <si>
    <t>Đồng Trạch</t>
  </si>
  <si>
    <t>Trung Trạch</t>
  </si>
  <si>
    <t>Các xã đạt chuẩn năm 2016</t>
  </si>
  <si>
    <t>Dương Thủy</t>
  </si>
  <si>
    <t>Tân Thủy</t>
  </si>
  <si>
    <t>Phú Thủy</t>
  </si>
  <si>
    <t>Võ Ninh</t>
  </si>
  <si>
    <t>Xuân Ninh</t>
  </si>
  <si>
    <t>Vạn Trạch</t>
  </si>
  <si>
    <t>Hạ Trạch</t>
  </si>
  <si>
    <t>Đức Trạch</t>
  </si>
  <si>
    <t>Quảng Tùng</t>
  </si>
  <si>
    <t>Quảng Lưu</t>
  </si>
  <si>
    <t>Quảng Tân</t>
  </si>
  <si>
    <t>III</t>
  </si>
  <si>
    <t>Mai Hóa</t>
  </si>
  <si>
    <t>Mức cam kết hỗ trợ</t>
  </si>
  <si>
    <t>Đã bố trí</t>
  </si>
  <si>
    <t>NS tỉnh</t>
  </si>
  <si>
    <t>Còn thiếu</t>
  </si>
  <si>
    <t>STT</t>
  </si>
  <si>
    <t>ĐVT: triệu đồng</t>
  </si>
  <si>
    <t xml:space="preserve">Đề nghị trong dự thảo QĐ phân bổ vốn của UBND tỉnh về điều khoản thực hiện:
- Giao Chủ tịch UBND các huyện, thị xã thực hiện phân bổ chi tiết theo đúng danh mục dự án đã cam kết của các xã (riêng các xã phấn đấu đạt chuẩn năm 2017 phân bổ theo danh mục hướng dẫn của Sở Kế hoạch và Đầu tư). Báo cáo phân bổ vốn gửi về Sở Kế hoạch và Đầu tư, Sở Tài chính, Sở Nông nghiệp và Phát triển nông thôn để kiểm tra, giám sát. </t>
  </si>
  <si>
    <t>5 xã hết 135</t>
  </si>
  <si>
    <t>Trường Xuân</t>
  </si>
  <si>
    <t>Thái Thủy</t>
  </si>
  <si>
    <t xml:space="preserve">Quảng Kim </t>
  </si>
  <si>
    <t>Cao Quảng</t>
  </si>
  <si>
    <t>Ngư Hóa</t>
  </si>
  <si>
    <t>Đức Hóa</t>
  </si>
  <si>
    <t>01 xã được 135</t>
  </si>
  <si>
    <t>NTM 2019</t>
  </si>
  <si>
    <t>Ghi chú:
*Năm 2016, 12 xã điểm cũng được phân bổ mức 3.100 triệu đồng như phương án này
 *Đồng Trạch, Trung Trạch là 2 xã đã đạt chuẩn năm 2015 nhưng chưa bố trí đủ theo cam kết của tỉnh, vốn TPCP 2016 đã bố trí 1,5 tỷ đồng/xã; còn thiếu 1,5 tỷ đồng/xã
* Trong số 52 xã nghèo, có 11 xã phấn đấu đạt chuẩn NTM trong giai đoạn 2016-2020</t>
  </si>
  <si>
    <t>Xã trên 15 tiêu chí (phấn đấu đạt chuẩn)</t>
  </si>
  <si>
    <t>Số chênh lệch</t>
  </si>
  <si>
    <t>Xã đạt chuẩn năm 2018</t>
  </si>
  <si>
    <t>Xã đạt chuẩn năm 2019</t>
  </si>
  <si>
    <t>Xã đạt chuẩn năm 2017</t>
  </si>
  <si>
    <t>28 xã đã đạt chuẩn GĐ 2013-2015 (trừ Đồng Trạch, Trung Trạch)</t>
  </si>
  <si>
    <t xml:space="preserve">Xã khác </t>
  </si>
  <si>
    <t>Phân bổ tối đa gói hỗ trợ , trừ số đã bố trí 2016 -2017</t>
  </si>
  <si>
    <t>Số liệu vốn còn thiếu so với cam kết ngân sách tỉnh và NSTW đến nay của các xã phấn đấu đạt chuẩn NTM năm 2017</t>
  </si>
  <si>
    <t xml:space="preserve">NS tỉnh </t>
  </si>
  <si>
    <t>1235/QĐ-UBND ngày 26/4/2016</t>
  </si>
  <si>
    <t>711/QĐ-UBND ngày 17/3/2016</t>
  </si>
  <si>
    <t>1471/QĐ-UBND ngày 03/5/2017</t>
  </si>
  <si>
    <t>2066/QĐ-UBND ngày 13/6/2017; 1861/QĐ-UBND ngày 26/5/2017</t>
  </si>
  <si>
    <t>ĐTPT</t>
  </si>
  <si>
    <t>SN</t>
  </si>
  <si>
    <t>2016 TPCP</t>
  </si>
  <si>
    <t>2018 NSTW</t>
  </si>
  <si>
    <t>Trung hạn và lũy kế phân bổ</t>
  </si>
  <si>
    <t>2016 (đợt 1)</t>
  </si>
  <si>
    <t>2016 (đợt 2)</t>
  </si>
  <si>
    <t>2017 (đợt 1)</t>
  </si>
  <si>
    <t>2017 (đợt 2)</t>
  </si>
  <si>
    <t>2017 TPCP (khen thưởng đợt 1)</t>
  </si>
  <si>
    <t>Quyết định số</t>
  </si>
  <si>
    <t>1865/QĐ-TTg ngày 23/11/2017</t>
  </si>
  <si>
    <t>MINH HÓA, TUYÊN HÓA</t>
  </si>
  <si>
    <t>HUYỆN CÒN LẠI</t>
  </si>
  <si>
    <t>Phân bổ lũy kế 2016-2018 đạt 30% gói hỗ trợ (2,8 TỶ đối với MH, TH và 2,1 tỷ đối với xã thuộc đp còn lại)</t>
  </si>
  <si>
    <t>DỰ KIẾN PHƯƠNG ÁN PHÂN BỔ KẾ HOẠCH VỐN NGÂN SÁCH TRUNG ƯƠNG CHƯƠNG TRÌNH MTQG XÂY DỰNG NÔNG THÔN MỚI NĂM 2018 (PA1)</t>
  </si>
  <si>
    <t>DỰ KIẾN PHƯƠNG ÁN PHÂN BỔ KẾ HOẠCH VỐN NGÂN SÁCH TRUNG ƯƠNG CHƯƠNG TRÌNH MTQG XÂY DỰNG NÔNG THÔN MỚI NĂM 2018 (PA2: bố trí đủ cho các xã đạt chuẩn 2017)</t>
  </si>
  <si>
    <t>Đã bố trí đủ</t>
  </si>
  <si>
    <t>12 xã năm 2016 + Đồng Trạch, Trung trạch + 3 xã nghèo 2017</t>
  </si>
  <si>
    <t>PA phân bổ/xã</t>
  </si>
  <si>
    <t xml:space="preserve"> 7 xã 2017 (còn thiếu so với cam kết)</t>
  </si>
  <si>
    <t>Chi tiết từng xã lấy ở Biểu 2</t>
  </si>
  <si>
    <t>Chi tiết từng xã lấy ở file excel PA 2018 ĐTPT</t>
  </si>
  <si>
    <t>Địa phương</t>
  </si>
  <si>
    <t>Các địa phương đã gửi quyết định phân bổ vốn NSTW NTM 2017 để theo dõi</t>
  </si>
  <si>
    <t>2017 BS (QĐ số 3198/QĐ-UBND11/9/2017 của UBND tỉnh)</t>
  </si>
  <si>
    <t>2017 (QĐ số 1471/QĐ-UBND ngày 03/5/2017 của UBND tỉnh)</t>
  </si>
  <si>
    <t>UBND huyện Lệ Thủy</t>
  </si>
  <si>
    <t>UBND huyện Quảng Ninh</t>
  </si>
  <si>
    <t>UBND Thành phố Đồng Hới</t>
  </si>
  <si>
    <t>UBND huyện Bố Trạch</t>
  </si>
  <si>
    <t>UBND huyện Quảng Trạch</t>
  </si>
  <si>
    <t>UBND thị xã Ba Đồn</t>
  </si>
  <si>
    <t>UBND huyện Minh Hóa</t>
  </si>
  <si>
    <t>UBND huyện Tuyên Hóa</t>
  </si>
  <si>
    <t>QĐ số 1337/QĐ-UBND ngày 13/6/2017; BC số 235/BC-UBND ngày 25/7/2017</t>
  </si>
  <si>
    <t>QĐ số 2445/QĐ-UBND ngày 08/06/2017</t>
  </si>
  <si>
    <t xml:space="preserve">1115/QĐ-UBND ngày 29/6/2017; 2037/QĐ-UBND ngày 13/10/2017; 2276/QĐ-UBND ngày 13/11/2017; 2403/QĐ-UBND ngày 20/11/2017; </t>
  </si>
  <si>
    <t>QĐ số 2249/QĐ-UBND ngày 22/5/2017</t>
  </si>
  <si>
    <t>Chưa có</t>
  </si>
  <si>
    <t>Báo cáo theo Công văn số 3807/KHĐT-KT ngày 19/12/2017 của SKHĐT về việc xây dựng phương án phân bổ vốn NSTW Chương trình MTQG xây dựng NTM năm 2018</t>
  </si>
  <si>
    <t>A</t>
  </si>
  <si>
    <t>B</t>
  </si>
  <si>
    <t>C</t>
  </si>
  <si>
    <t>KH 2016</t>
  </si>
  <si>
    <t>KH 2017</t>
  </si>
  <si>
    <t xml:space="preserve">KH 2018 </t>
  </si>
  <si>
    <t>2017 NSTW (khen thưởng đợt 2)</t>
  </si>
  <si>
    <t>Ghi chú3</t>
  </si>
  <si>
    <t>Trong đó: Dự phòng 10% ĐTPT NSTW 80.130 trđ</t>
  </si>
  <si>
    <t>Nguồn NSTW</t>
  </si>
  <si>
    <t>Nguồn TPCP 2016-2017</t>
  </si>
  <si>
    <t>Nguồn TPCP 2016</t>
  </si>
  <si>
    <t>Tổng vốn trung hạn</t>
  </si>
  <si>
    <t>Đợt phân bổ</t>
  </si>
  <si>
    <t>Trừ đi vốn khen thưởng và dự phòng</t>
  </si>
  <si>
    <t>Tổng kế hoạch vốn ĐTPT 2016-2020 đưa vào tính toán phân bổ trung hạn cho các xã</t>
  </si>
  <si>
    <t xml:space="preserve">Bằng số vốn giao tại QĐ số 1178/QĐ-BKHĐT ngày 29/8/2017 của BKHĐT </t>
  </si>
  <si>
    <t>Tổng tiền làm tròn
(tr. Đồng)</t>
  </si>
  <si>
    <t>Xã nghèo, ĐBKK (có 11 xã phấn đấu đạt chuẩn)</t>
  </si>
  <si>
    <t>30 xã đã đạt chuẩn GĐ 2013-2015</t>
  </si>
  <si>
    <t>Phân bổ BQ/xã làm tròn
(tr. Đồng)</t>
  </si>
  <si>
    <t>Các xã khác chưa đạt chuẩn</t>
  </si>
  <si>
    <t>Số tiền bình quân/điểm hệ số (= Tổng tiền/Tổng điểm hệ số)</t>
  </si>
  <si>
    <t>Hệ số phân bổ</t>
  </si>
  <si>
    <t>Hệ số phân bổ điều chỉnh</t>
  </si>
  <si>
    <t>Số chênh lệch còn lại (sau làm tròn)</t>
  </si>
  <si>
    <t>PA3: Phương án theo hệ số đề xuất điều chỉnh (tăng mức phân bổ cho các xã khác)</t>
  </si>
  <si>
    <t>PA4: Phương án theo hệ số đề xuất điều chỉnh (mức phân bổ cho các xã khác tăng lên 4,5 tỷ cả GĐ trong trường hợp Chỉ tiêu phấn đấu đạt chuẩn là 100/136 xã)</t>
  </si>
  <si>
    <t>Xã từ 15 tiêu chí phấn đấu đạt chuẩn</t>
  </si>
  <si>
    <t xml:space="preserve">PA1: Áp dụng tiêu chí phân bổ vốn NSTW cho các tỉnh, thành phố trực thuộc TW để làm tiêu chí phân bổ chi tiết </t>
  </si>
  <si>
    <t xml:space="preserve">Dự kiến bố trí NS tỉnh </t>
  </si>
  <si>
    <t>Nhu cầu Bố trí các xã đạt chuẩn</t>
  </si>
  <si>
    <t>PA5</t>
  </si>
  <si>
    <t>PA2: Hệ số điều chỉnh ưu tiên Nhóm 2</t>
  </si>
  <si>
    <t>2a</t>
  </si>
  <si>
    <t>2b</t>
  </si>
  <si>
    <t>Riêng Quy Hóa giảm 20 triệu (còn 260) để tròn số</t>
  </si>
  <si>
    <t>Phân bổ lũy kế 2016-2018 đạt 30% gói hỗ trợ (2,8 TỶ đối với MH, TH và 2,1 tỷ đối với xã thuộc ĐP còn lại)</t>
  </si>
  <si>
    <t>Hệ số phân bổ điều chỉnh của KH 2018</t>
  </si>
  <si>
    <t>Hệ số 2,0 trung hạn</t>
  </si>
  <si>
    <t>Phân bổ theo mức dự kiến trung hạn trừ số đã bố trí 2016 -2017</t>
  </si>
  <si>
    <t>Xã phấn đấu đạt chuẩn năm 2018</t>
  </si>
  <si>
    <t>Xã phấn đấu đạt chuẩn năm 2019</t>
  </si>
  <si>
    <t>Xã khác chưa đạt chuẩn GĐ 2018-2019</t>
  </si>
  <si>
    <t>DỰ KIẾN PHƯƠNG ÁN PHÂN BỔ KẾ HOẠCH VỐN NGÂN SÁCH TRUNG ƯƠNG CHƯƠNG TRÌNH MTQG XÂY DỰNG NÔNG THÔN MỚI NĂM 2018 (PA2)</t>
  </si>
  <si>
    <t>Ghi chú4</t>
  </si>
  <si>
    <t xml:space="preserve">Trung hạn
PA2 </t>
  </si>
  <si>
    <t>Trung hạn
PA3</t>
  </si>
  <si>
    <t xml:space="preserve">Đề xuất căn cứ trung hạn để phân bổ cho KH 2018 </t>
  </si>
  <si>
    <t>Số xã</t>
  </si>
  <si>
    <t>Nhóm 1</t>
  </si>
  <si>
    <t xml:space="preserve">Xã nghèo, ĐBKK </t>
  </si>
  <si>
    <t>Trong đó có 11 xã phấn đấu đạt chuẩn NTM trong giai đoạn 2016-2020</t>
  </si>
  <si>
    <t>Nhóm 2</t>
  </si>
  <si>
    <t>Các xã đạt từ 15 tiêu chí trở lên, phấn đấu đạt chuẩn NTM trong GĐ 2016-2020</t>
  </si>
  <si>
    <t>Nhóm 3</t>
  </si>
  <si>
    <t>Các xã khác chưa đạt chuẩn NTM trong giai đoạn 2016-2020</t>
  </si>
  <si>
    <t>Nhóm 4</t>
  </si>
  <si>
    <t>Các xã đã được công nhận đạt chuẩn nông thôn mới giai đoạn 2013-2015</t>
  </si>
  <si>
    <t>Xử lý nợ đọng XDCB nếu có, nâng cao chất lượng các tiêu chí và đạt chuẩn bền vững</t>
  </si>
  <si>
    <t>KH</t>
  </si>
  <si>
    <t>Giải ngân</t>
  </si>
  <si>
    <t xml:space="preserve">Trong đó: Hoàn trả các xã 2016: 36 tỷ; Trả nợ các xã 2017: 12.350trđ; Bố trí theo cam kết cho các xã 2018: 16 tỷ </t>
  </si>
  <si>
    <t>ĐVT: Triệu đồng.</t>
  </si>
  <si>
    <t>Lũy kế phân bổ ĐTPT đạt 38%, SN đạt 40%</t>
  </si>
  <si>
    <t>(Kèm theo Tờ trình số         /TTr-UBND ngày      /        /2018 của UBND tỉnh)</t>
  </si>
  <si>
    <t>PHỤ LỤC 1: SỐ VỐN GIAO KẾ HOẠCH TRUNG HẠN NSTW (BAO GỒM TPCP) 
CHƯƠNG TRÌNH MTQG XÂY DỰNG NÔNG THÔN MỚI GIAI ĐOẠN 2016-2020 
VÀ LŨY KẾ PHÂN BỔ GIAI ĐOẠN 2016-2018</t>
  </si>
  <si>
    <t>Lũy kế bố trí 2016 - 2018</t>
  </si>
  <si>
    <t>Trong đó: khen thưởng 11.000 trđ</t>
  </si>
  <si>
    <t>Không tính TPCP khen thưởng 2017 (11.000 trđ)</t>
  </si>
  <si>
    <t>QĐ số 1865/QĐ-TTg ngày 23/11/2017 của TTCP</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</si>
</sst>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_(* #,##0_);_(* \(#,##0\);_(* &quot;-&quot;??_);_(@_)"/>
    <numFmt numFmtId="172" formatCode="&quot;Yes&quot;;&quot;Yes&quot;;&quot;No&quot;"/>
    <numFmt numFmtId="173" formatCode="&quot;True&quot;;&quot;True&quot;;&quot;False&quot;"/>
    <numFmt numFmtId="174" formatCode="&quot;On&quot;;&quot;On&quot;;&quot;Off&quot;"/>
    <numFmt numFmtId="175" formatCode="[$€-2]\ #,##0.00_);[Red]\([$€-2]\ #,##0.00\)"/>
  </numFmts>
  <fonts count="84">
    <font>
      <sz val="11"/>
      <color theme="1"/>
      <name val="Calibri"/>
      <family val="2"/>
    </font>
    <font>
      <sz val="11"/>
      <color indexed="8"/>
      <name val="Calibri"/>
      <family val="2"/>
    </font>
    <font>
      <sz val="14"/>
      <name val="Times New Roman"/>
      <family val="1"/>
    </font>
    <font>
      <b/>
      <sz val="14"/>
      <name val="Times New Roman"/>
      <family val="1"/>
    </font>
    <font>
      <i/>
      <sz val="14"/>
      <name val="Times New Roman"/>
      <family val="1"/>
    </font>
    <font>
      <i/>
      <sz val="11"/>
      <name val="Times New Roman"/>
      <family val="1"/>
    </font>
    <font>
      <sz val="11"/>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5"/>
      <color indexed="8"/>
      <name val="Calibri"/>
      <family val="2"/>
    </font>
    <font>
      <b/>
      <sz val="11"/>
      <color indexed="8"/>
      <name val="Times New Roman"/>
      <family val="1"/>
    </font>
    <font>
      <b/>
      <i/>
      <sz val="11"/>
      <color indexed="8"/>
      <name val="Calibri"/>
      <family val="2"/>
    </font>
    <font>
      <b/>
      <i/>
      <sz val="11"/>
      <color indexed="8"/>
      <name val="Times New Roman"/>
      <family val="1"/>
    </font>
    <font>
      <sz val="14"/>
      <color indexed="10"/>
      <name val="Times New Roman"/>
      <family val="1"/>
    </font>
    <font>
      <sz val="14"/>
      <color indexed="8"/>
      <name val="Times New Roman"/>
      <family val="2"/>
    </font>
    <font>
      <sz val="11"/>
      <color indexed="8"/>
      <name val="Times New Roman"/>
      <family val="2"/>
    </font>
    <font>
      <i/>
      <sz val="11"/>
      <color indexed="8"/>
      <name val="Calibri"/>
      <family val="2"/>
    </font>
    <font>
      <i/>
      <sz val="11"/>
      <color indexed="8"/>
      <name val="Times New Roman"/>
      <family val="1"/>
    </font>
    <font>
      <b/>
      <sz val="14"/>
      <color indexed="8"/>
      <name val="Times New Roman"/>
      <family val="1"/>
    </font>
    <font>
      <i/>
      <sz val="14"/>
      <color indexed="8"/>
      <name val="Times New Roman"/>
      <family val="1"/>
    </font>
    <font>
      <b/>
      <sz val="15"/>
      <color indexed="8"/>
      <name val="Times New Roman"/>
      <family val="1"/>
    </font>
    <font>
      <b/>
      <sz val="11"/>
      <color indexed="10"/>
      <name val="Times New Roman"/>
      <family val="1"/>
    </font>
    <font>
      <sz val="11"/>
      <color indexed="10"/>
      <name val="Times New Roman"/>
      <family val="1"/>
    </font>
    <font>
      <sz val="13"/>
      <color indexed="8"/>
      <name val="Times New Roman"/>
      <family val="1"/>
    </font>
    <font>
      <sz val="12"/>
      <color indexed="8"/>
      <name val="Times New Roman"/>
      <family val="2"/>
    </font>
    <font>
      <b/>
      <sz val="13"/>
      <color indexed="8"/>
      <name val="Times New Roman"/>
      <family val="1"/>
    </font>
    <font>
      <b/>
      <sz val="18"/>
      <color indexed="8"/>
      <name val="Times New Roman"/>
      <family val="1"/>
    </font>
    <font>
      <i/>
      <sz val="18"/>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5"/>
      <color theme="1"/>
      <name val="Calibri"/>
      <family val="2"/>
    </font>
    <font>
      <b/>
      <sz val="11"/>
      <color theme="1"/>
      <name val="Times New Roman"/>
      <family val="1"/>
    </font>
    <font>
      <b/>
      <i/>
      <sz val="11"/>
      <color theme="1"/>
      <name val="Calibri"/>
      <family val="2"/>
    </font>
    <font>
      <b/>
      <i/>
      <sz val="11"/>
      <color theme="1"/>
      <name val="Times New Roman"/>
      <family val="1"/>
    </font>
    <font>
      <sz val="14"/>
      <color rgb="FFFF0000"/>
      <name val="Times New Roman"/>
      <family val="1"/>
    </font>
    <font>
      <sz val="14"/>
      <color theme="1"/>
      <name val="Times New Roman"/>
      <family val="2"/>
    </font>
    <font>
      <sz val="11"/>
      <color theme="1"/>
      <name val="Times New Roman"/>
      <family val="2"/>
    </font>
    <font>
      <i/>
      <sz val="11"/>
      <color theme="1"/>
      <name val="Calibri"/>
      <family val="2"/>
    </font>
    <font>
      <i/>
      <sz val="11"/>
      <color theme="1"/>
      <name val="Times New Roman"/>
      <family val="1"/>
    </font>
    <font>
      <b/>
      <sz val="14"/>
      <color theme="1"/>
      <name val="Times New Roman"/>
      <family val="1"/>
    </font>
    <font>
      <i/>
      <sz val="14"/>
      <color theme="1"/>
      <name val="Times New Roman"/>
      <family val="1"/>
    </font>
    <font>
      <b/>
      <sz val="15"/>
      <color theme="1"/>
      <name val="Times New Roman"/>
      <family val="1"/>
    </font>
    <font>
      <b/>
      <sz val="11"/>
      <color rgb="FFFF0000"/>
      <name val="Times New Roman"/>
      <family val="1"/>
    </font>
    <font>
      <sz val="11"/>
      <color rgb="FFFF0000"/>
      <name val="Times New Roman"/>
      <family val="1"/>
    </font>
    <font>
      <b/>
      <sz val="14"/>
      <color rgb="FF000000"/>
      <name val="Times New Roman"/>
      <family val="1"/>
    </font>
    <font>
      <sz val="13"/>
      <color rgb="FF000000"/>
      <name val="Times New Roman"/>
      <family val="1"/>
    </font>
    <font>
      <sz val="12"/>
      <color theme="1"/>
      <name val="Times New Roman"/>
      <family val="2"/>
    </font>
    <font>
      <sz val="13"/>
      <color theme="1"/>
      <name val="Times New Roman"/>
      <family val="2"/>
    </font>
    <font>
      <sz val="12"/>
      <color rgb="FF000000"/>
      <name val="Times New Roman"/>
      <family val="1"/>
    </font>
    <font>
      <b/>
      <sz val="13"/>
      <color rgb="FF000000"/>
      <name val="Times New Roman"/>
      <family val="1"/>
    </font>
    <font>
      <b/>
      <sz val="18"/>
      <color theme="1"/>
      <name val="Times New Roman"/>
      <family val="1"/>
    </font>
    <font>
      <i/>
      <sz val="18"/>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54">
    <xf numFmtId="0" fontId="0" fillId="0" borderId="0" xfId="0" applyFont="1" applyAlignment="1">
      <alignment/>
    </xf>
    <xf numFmtId="0" fontId="0" fillId="0" borderId="0" xfId="0" applyAlignment="1">
      <alignment horizontal="center"/>
    </xf>
    <xf numFmtId="0" fontId="60" fillId="0" borderId="10" xfId="0" applyFont="1" applyBorder="1" applyAlignment="1">
      <alignment horizontal="center" vertical="center"/>
    </xf>
    <xf numFmtId="0" fontId="60" fillId="0" borderId="10" xfId="0" applyFont="1"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170" fontId="0" fillId="0" borderId="10" xfId="0" applyNumberFormat="1" applyBorder="1" applyAlignment="1">
      <alignment/>
    </xf>
    <xf numFmtId="3" fontId="0" fillId="0" borderId="10" xfId="0" applyNumberFormat="1" applyBorder="1" applyAlignment="1">
      <alignment/>
    </xf>
    <xf numFmtId="3" fontId="0" fillId="0" borderId="0" xfId="0" applyNumberFormat="1" applyAlignment="1">
      <alignment/>
    </xf>
    <xf numFmtId="0" fontId="60" fillId="33" borderId="10" xfId="0" applyFont="1" applyFill="1" applyBorder="1" applyAlignment="1">
      <alignment horizontal="center" vertical="center"/>
    </xf>
    <xf numFmtId="0" fontId="60" fillId="33" borderId="10" xfId="0" applyFont="1" applyFill="1" applyBorder="1" applyAlignment="1">
      <alignment horizontal="center" vertical="center" wrapText="1"/>
    </xf>
    <xf numFmtId="0" fontId="0" fillId="33" borderId="10" xfId="0" applyFill="1" applyBorder="1" applyAlignment="1">
      <alignment horizontal="center"/>
    </xf>
    <xf numFmtId="0" fontId="0" fillId="33" borderId="10" xfId="0" applyFill="1" applyBorder="1" applyAlignment="1">
      <alignment/>
    </xf>
    <xf numFmtId="170" fontId="0" fillId="33" borderId="10" xfId="0" applyNumberFormat="1" applyFill="1" applyBorder="1" applyAlignment="1">
      <alignment/>
    </xf>
    <xf numFmtId="170" fontId="0" fillId="0" borderId="0" xfId="0" applyNumberFormat="1" applyAlignment="1">
      <alignment/>
    </xf>
    <xf numFmtId="170" fontId="0" fillId="0" borderId="10" xfId="0" applyNumberFormat="1" applyBorder="1" applyAlignment="1">
      <alignment wrapText="1"/>
    </xf>
    <xf numFmtId="0" fontId="0" fillId="0" borderId="0" xfId="0" applyAlignment="1">
      <alignment wrapText="1"/>
    </xf>
    <xf numFmtId="170" fontId="0" fillId="0" borderId="0" xfId="0" applyNumberFormat="1" applyAlignment="1">
      <alignment wrapText="1"/>
    </xf>
    <xf numFmtId="3" fontId="0" fillId="33" borderId="10" xfId="0" applyNumberFormat="1" applyFill="1" applyBorder="1" applyAlignment="1">
      <alignment/>
    </xf>
    <xf numFmtId="3" fontId="60" fillId="33" borderId="10" xfId="0" applyNumberFormat="1" applyFont="1" applyFill="1" applyBorder="1" applyAlignment="1">
      <alignment/>
    </xf>
    <xf numFmtId="0" fontId="0" fillId="0" borderId="10" xfId="0" applyBorder="1" applyAlignment="1">
      <alignment horizontal="center"/>
    </xf>
    <xf numFmtId="0" fontId="60" fillId="0" borderId="0" xfId="0" applyFont="1" applyFill="1" applyAlignment="1">
      <alignment horizontal="center"/>
    </xf>
    <xf numFmtId="0" fontId="60" fillId="0" borderId="0" xfId="0" applyFont="1" applyFill="1" applyAlignment="1">
      <alignment/>
    </xf>
    <xf numFmtId="0" fontId="60" fillId="0" borderId="0" xfId="0" applyFont="1" applyFill="1" applyAlignment="1">
      <alignment wrapText="1"/>
    </xf>
    <xf numFmtId="0" fontId="0" fillId="0" borderId="0" xfId="0" applyFill="1" applyBorder="1" applyAlignment="1">
      <alignment/>
    </xf>
    <xf numFmtId="0" fontId="60" fillId="0" borderId="0" xfId="0" applyFont="1" applyAlignment="1">
      <alignment horizontal="center"/>
    </xf>
    <xf numFmtId="0" fontId="60" fillId="0" borderId="0" xfId="0" applyFont="1" applyAlignment="1">
      <alignment/>
    </xf>
    <xf numFmtId="0" fontId="62" fillId="0" borderId="0" xfId="0" applyFont="1" applyAlignment="1">
      <alignment horizontal="center"/>
    </xf>
    <xf numFmtId="0" fontId="62" fillId="0" borderId="0" xfId="0" applyFont="1" applyAlignment="1">
      <alignment/>
    </xf>
    <xf numFmtId="0" fontId="0" fillId="33"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60" fillId="0" borderId="10" xfId="0" applyFont="1" applyBorder="1" applyAlignment="1">
      <alignment horizontal="center"/>
    </xf>
    <xf numFmtId="0" fontId="60" fillId="0" borderId="10" xfId="0" applyFont="1" applyBorder="1" applyAlignment="1">
      <alignment/>
    </xf>
    <xf numFmtId="0" fontId="60" fillId="0" borderId="0" xfId="0" applyFont="1" applyAlignment="1">
      <alignment wrapText="1"/>
    </xf>
    <xf numFmtId="0" fontId="60" fillId="0" borderId="10" xfId="0" applyFont="1" applyFill="1" applyBorder="1" applyAlignment="1">
      <alignment horizontal="center" vertical="center"/>
    </xf>
    <xf numFmtId="0" fontId="60" fillId="0" borderId="10" xfId="0" applyFont="1" applyFill="1" applyBorder="1" applyAlignment="1">
      <alignment horizontal="center" vertical="center" wrapText="1"/>
    </xf>
    <xf numFmtId="0" fontId="0" fillId="0" borderId="10" xfId="0" applyFill="1" applyBorder="1" applyAlignment="1">
      <alignment horizontal="center"/>
    </xf>
    <xf numFmtId="0" fontId="0" fillId="0" borderId="10" xfId="0" applyFill="1" applyBorder="1" applyAlignment="1">
      <alignment/>
    </xf>
    <xf numFmtId="170" fontId="0" fillId="0" borderId="10" xfId="0" applyNumberFormat="1" applyFill="1" applyBorder="1" applyAlignment="1">
      <alignment/>
    </xf>
    <xf numFmtId="0" fontId="0" fillId="0" borderId="10" xfId="0" applyFill="1" applyBorder="1" applyAlignment="1">
      <alignment wrapText="1"/>
    </xf>
    <xf numFmtId="0" fontId="60" fillId="0" borderId="10" xfId="0" applyFont="1" applyFill="1" applyBorder="1" applyAlignment="1">
      <alignment horizontal="center"/>
    </xf>
    <xf numFmtId="0" fontId="60" fillId="0" borderId="10" xfId="0" applyFont="1" applyFill="1" applyBorder="1" applyAlignment="1">
      <alignment/>
    </xf>
    <xf numFmtId="170" fontId="60" fillId="0" borderId="10" xfId="0" applyNumberFormat="1" applyFont="1" applyFill="1" applyBorder="1" applyAlignment="1">
      <alignment/>
    </xf>
    <xf numFmtId="0" fontId="60" fillId="0" borderId="10" xfId="0" applyFont="1" applyFill="1" applyBorder="1" applyAlignment="1">
      <alignment wrapText="1"/>
    </xf>
    <xf numFmtId="170" fontId="60" fillId="33" borderId="10" xfId="0" applyNumberFormat="1" applyFont="1" applyFill="1" applyBorder="1" applyAlignment="1">
      <alignment/>
    </xf>
    <xf numFmtId="170" fontId="0" fillId="34" borderId="10" xfId="0" applyNumberFormat="1" applyFill="1" applyBorder="1" applyAlignment="1">
      <alignment/>
    </xf>
    <xf numFmtId="170" fontId="0" fillId="0" borderId="10" xfId="0" applyNumberFormat="1" applyFill="1" applyBorder="1" applyAlignment="1">
      <alignment horizontal="right"/>
    </xf>
    <xf numFmtId="170" fontId="0" fillId="0" borderId="10" xfId="0" applyNumberFormat="1" applyFill="1" applyBorder="1" applyAlignment="1">
      <alignment horizontal="right" wrapText="1"/>
    </xf>
    <xf numFmtId="170" fontId="60" fillId="0" borderId="0" xfId="0" applyNumberFormat="1" applyFont="1" applyAlignment="1">
      <alignment/>
    </xf>
    <xf numFmtId="0" fontId="61" fillId="0" borderId="10" xfId="0" applyFont="1" applyBorder="1" applyAlignment="1">
      <alignment/>
    </xf>
    <xf numFmtId="0" fontId="61" fillId="0" borderId="10" xfId="0" applyFont="1" applyBorder="1" applyAlignment="1">
      <alignment wrapText="1"/>
    </xf>
    <xf numFmtId="0" fontId="61" fillId="33" borderId="10" xfId="0" applyFont="1" applyFill="1" applyBorder="1" applyAlignment="1">
      <alignment/>
    </xf>
    <xf numFmtId="0" fontId="61" fillId="33" borderId="10" xfId="0" applyFont="1" applyFill="1" applyBorder="1" applyAlignment="1">
      <alignment wrapText="1"/>
    </xf>
    <xf numFmtId="0" fontId="61" fillId="0" borderId="11" xfId="0" applyFont="1" applyFill="1" applyBorder="1" applyAlignment="1">
      <alignment/>
    </xf>
    <xf numFmtId="0" fontId="63" fillId="0" borderId="10" xfId="0" applyFont="1" applyBorder="1" applyAlignment="1">
      <alignment horizontal="center"/>
    </xf>
    <xf numFmtId="0" fontId="63" fillId="0" borderId="0" xfId="0" applyFont="1" applyAlignment="1">
      <alignment horizontal="center"/>
    </xf>
    <xf numFmtId="0" fontId="64" fillId="0" borderId="0" xfId="0" applyFont="1" applyAlignment="1">
      <alignment/>
    </xf>
    <xf numFmtId="0" fontId="64" fillId="0" borderId="12" xfId="0" applyFont="1" applyBorder="1" applyAlignment="1">
      <alignment/>
    </xf>
    <xf numFmtId="0" fontId="0" fillId="0" borderId="13" xfId="0" applyBorder="1" applyAlignment="1">
      <alignment horizontal="center"/>
    </xf>
    <xf numFmtId="0" fontId="65" fillId="0" borderId="10" xfId="0" applyFont="1" applyBorder="1" applyAlignment="1">
      <alignment horizontal="center"/>
    </xf>
    <xf numFmtId="0" fontId="64" fillId="0" borderId="10" xfId="0" applyFont="1" applyBorder="1" applyAlignment="1">
      <alignment/>
    </xf>
    <xf numFmtId="0" fontId="64" fillId="0" borderId="10" xfId="0" applyFont="1" applyBorder="1" applyAlignment="1">
      <alignment/>
    </xf>
    <xf numFmtId="0" fontId="63" fillId="0" borderId="10" xfId="0" applyFont="1" applyBorder="1" applyAlignment="1">
      <alignment horizontal="center" vertical="center"/>
    </xf>
    <xf numFmtId="3" fontId="64" fillId="0" borderId="10" xfId="0" applyNumberFormat="1" applyFont="1" applyBorder="1" applyAlignment="1">
      <alignment/>
    </xf>
    <xf numFmtId="3" fontId="64" fillId="0" borderId="10" xfId="0" applyNumberFormat="1" applyFont="1" applyBorder="1" applyAlignment="1">
      <alignment/>
    </xf>
    <xf numFmtId="3" fontId="60" fillId="0" borderId="10" xfId="0" applyNumberFormat="1" applyFont="1" applyBorder="1" applyAlignment="1">
      <alignment/>
    </xf>
    <xf numFmtId="0" fontId="60" fillId="0" borderId="0" xfId="0" applyFont="1" applyAlignment="1">
      <alignment vertical="center" wrapText="1"/>
    </xf>
    <xf numFmtId="0" fontId="65" fillId="0" borderId="14" xfId="0" applyFont="1" applyBorder="1" applyAlignment="1">
      <alignment horizontal="center"/>
    </xf>
    <xf numFmtId="0" fontId="64" fillId="0" borderId="14" xfId="0" applyFont="1" applyBorder="1" applyAlignment="1">
      <alignment/>
    </xf>
    <xf numFmtId="3" fontId="64" fillId="0" borderId="14" xfId="0" applyNumberFormat="1" applyFont="1" applyBorder="1" applyAlignment="1">
      <alignment/>
    </xf>
    <xf numFmtId="3" fontId="64" fillId="0" borderId="14" xfId="0" applyNumberFormat="1" applyFont="1" applyBorder="1" applyAlignment="1">
      <alignment/>
    </xf>
    <xf numFmtId="0" fontId="0" fillId="0" borderId="0" xfId="0" applyFill="1" applyBorder="1" applyAlignment="1">
      <alignment horizontal="center"/>
    </xf>
    <xf numFmtId="170" fontId="0" fillId="0" borderId="0" xfId="0" applyNumberFormat="1" applyFill="1" applyBorder="1" applyAlignment="1">
      <alignment/>
    </xf>
    <xf numFmtId="0" fontId="60" fillId="0" borderId="10" xfId="0" applyFont="1" applyBorder="1" applyAlignment="1">
      <alignment horizontal="center" vertical="center" wrapText="1"/>
    </xf>
    <xf numFmtId="0" fontId="63" fillId="0" borderId="0" xfId="0" applyFont="1" applyBorder="1" applyAlignment="1">
      <alignment horizontal="center" wrapText="1"/>
    </xf>
    <xf numFmtId="0" fontId="60" fillId="33" borderId="10"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0" fillId="0" borderId="14" xfId="0" applyFont="1" applyBorder="1" applyAlignment="1">
      <alignment horizontal="center" vertical="center" wrapText="1"/>
    </xf>
    <xf numFmtId="0" fontId="60" fillId="33" borderId="14" xfId="0" applyFont="1" applyFill="1" applyBorder="1" applyAlignment="1">
      <alignment horizontal="center" vertical="center" wrapText="1"/>
    </xf>
    <xf numFmtId="0" fontId="0" fillId="0" borderId="0" xfId="0" applyAlignment="1">
      <alignment vertical="center"/>
    </xf>
    <xf numFmtId="0" fontId="61" fillId="0" borderId="10" xfId="0" applyFont="1" applyFill="1" applyBorder="1" applyAlignment="1">
      <alignment wrapText="1"/>
    </xf>
    <xf numFmtId="0" fontId="63" fillId="0" borderId="10" xfId="0" applyFont="1" applyFill="1" applyBorder="1" applyAlignment="1">
      <alignment horizontal="center" vertical="center" wrapText="1"/>
    </xf>
    <xf numFmtId="0" fontId="66" fillId="0" borderId="10" xfId="57" applyNumberFormat="1" applyFont="1" applyBorder="1" applyAlignment="1">
      <alignment horizontal="justify" vertical="center" wrapText="1"/>
      <protection/>
    </xf>
    <xf numFmtId="0" fontId="67" fillId="0" borderId="0" xfId="0" applyFont="1" applyAlignment="1">
      <alignment/>
    </xf>
    <xf numFmtId="0" fontId="67" fillId="0" borderId="10" xfId="0" applyFont="1" applyBorder="1" applyAlignment="1">
      <alignment horizontal="center" vertical="center"/>
    </xf>
    <xf numFmtId="0" fontId="67" fillId="0" borderId="10" xfId="0" applyFont="1" applyBorder="1" applyAlignment="1">
      <alignment horizontal="center" vertical="center" wrapText="1"/>
    </xf>
    <xf numFmtId="0" fontId="67" fillId="0" borderId="0" xfId="0" applyFont="1" applyAlignment="1">
      <alignment horizontal="center" vertical="center"/>
    </xf>
    <xf numFmtId="0" fontId="67" fillId="0" borderId="0" xfId="0" applyFont="1" applyAlignment="1">
      <alignment wrapText="1"/>
    </xf>
    <xf numFmtId="0" fontId="67" fillId="0" borderId="0" xfId="0" applyFont="1" applyAlignment="1">
      <alignment horizontal="center" wrapText="1"/>
    </xf>
    <xf numFmtId="0" fontId="67" fillId="0" borderId="10" xfId="0" applyFont="1" applyBorder="1" applyAlignment="1">
      <alignment vertical="center" wrapText="1"/>
    </xf>
    <xf numFmtId="0" fontId="67" fillId="0" borderId="10" xfId="0" applyFont="1" applyBorder="1" applyAlignment="1">
      <alignment vertical="center"/>
    </xf>
    <xf numFmtId="0" fontId="67" fillId="0" borderId="0" xfId="0" applyFont="1" applyAlignment="1">
      <alignment vertical="center"/>
    </xf>
    <xf numFmtId="0" fontId="68" fillId="0" borderId="0" xfId="0" applyFont="1" applyAlignment="1">
      <alignment/>
    </xf>
    <xf numFmtId="0" fontId="63" fillId="0" borderId="0" xfId="0" applyFont="1" applyAlignment="1">
      <alignment/>
    </xf>
    <xf numFmtId="0" fontId="69" fillId="0" borderId="0" xfId="0" applyFont="1" applyAlignment="1">
      <alignment vertical="center"/>
    </xf>
    <xf numFmtId="0" fontId="60" fillId="0" borderId="0" xfId="0" applyFont="1" applyAlignment="1">
      <alignment vertical="center"/>
    </xf>
    <xf numFmtId="0" fontId="63" fillId="0" borderId="10" xfId="0" applyFont="1" applyFill="1" applyBorder="1" applyAlignment="1">
      <alignment horizontal="center" vertical="center"/>
    </xf>
    <xf numFmtId="0" fontId="70" fillId="0" borderId="10" xfId="0" applyFont="1" applyFill="1" applyBorder="1" applyAlignment="1">
      <alignment horizontal="center" vertical="center"/>
    </xf>
    <xf numFmtId="0" fontId="63" fillId="0" borderId="10" xfId="0" applyFont="1" applyFill="1" applyBorder="1" applyAlignment="1">
      <alignment vertical="center"/>
    </xf>
    <xf numFmtId="0" fontId="3" fillId="0" borderId="10" xfId="0" applyFont="1" applyFill="1" applyBorder="1" applyAlignment="1">
      <alignment horizontal="center" vertical="center"/>
    </xf>
    <xf numFmtId="49" fontId="3" fillId="0" borderId="10" xfId="42" applyNumberFormat="1" applyFont="1" applyFill="1" applyBorder="1" applyAlignment="1">
      <alignment horizontal="left" vertical="center"/>
    </xf>
    <xf numFmtId="171" fontId="3" fillId="0" borderId="10" xfId="42" applyNumberFormat="1" applyFont="1" applyFill="1" applyBorder="1" applyAlignment="1">
      <alignment vertical="center"/>
    </xf>
    <xf numFmtId="171" fontId="71" fillId="0" borderId="10" xfId="0" applyNumberFormat="1" applyFont="1" applyFill="1" applyBorder="1" applyAlignment="1">
      <alignment vertical="center"/>
    </xf>
    <xf numFmtId="49" fontId="4" fillId="0" borderId="10" xfId="42" applyNumberFormat="1" applyFont="1" applyFill="1" applyBorder="1" applyAlignment="1" quotePrefix="1">
      <alignment horizontal="left" vertical="center"/>
    </xf>
    <xf numFmtId="171" fontId="4" fillId="0" borderId="10" xfId="42" applyNumberFormat="1" applyFont="1" applyFill="1" applyBorder="1" applyAlignment="1">
      <alignment vertical="center"/>
    </xf>
    <xf numFmtId="171" fontId="72" fillId="0" borderId="10" xfId="0" applyNumberFormat="1" applyFont="1" applyFill="1" applyBorder="1" applyAlignment="1">
      <alignment vertical="center"/>
    </xf>
    <xf numFmtId="0" fontId="72" fillId="0" borderId="10" xfId="0" applyFont="1" applyFill="1" applyBorder="1" applyAlignment="1">
      <alignment vertical="center"/>
    </xf>
    <xf numFmtId="0" fontId="70" fillId="0" borderId="10" xfId="0" applyFont="1" applyFill="1" applyBorder="1" applyAlignment="1">
      <alignment vertical="center"/>
    </xf>
    <xf numFmtId="49" fontId="71" fillId="0" borderId="10" xfId="42" applyNumberFormat="1" applyFont="1" applyFill="1" applyBorder="1" applyAlignment="1">
      <alignment horizontal="center" vertical="center"/>
    </xf>
    <xf numFmtId="0" fontId="71" fillId="0" borderId="10" xfId="0" applyFont="1" applyFill="1" applyBorder="1" applyAlignment="1">
      <alignment vertical="center"/>
    </xf>
    <xf numFmtId="171" fontId="67" fillId="0" borderId="10" xfId="0" applyNumberFormat="1" applyFont="1" applyFill="1" applyBorder="1" applyAlignment="1">
      <alignment vertical="center"/>
    </xf>
    <xf numFmtId="171" fontId="2" fillId="0" borderId="10" xfId="42" applyNumberFormat="1" applyFont="1" applyFill="1" applyBorder="1" applyAlignment="1">
      <alignment vertical="center"/>
    </xf>
    <xf numFmtId="0" fontId="67" fillId="0" borderId="10" xfId="0" applyFont="1" applyFill="1" applyBorder="1" applyAlignment="1">
      <alignment vertical="center"/>
    </xf>
    <xf numFmtId="171" fontId="2" fillId="0" borderId="10" xfId="42" applyNumberFormat="1" applyFont="1" applyFill="1" applyBorder="1" applyAlignment="1">
      <alignment horizontal="center" vertical="center" wrapText="1"/>
    </xf>
    <xf numFmtId="171" fontId="67" fillId="0" borderId="10" xfId="42" applyNumberFormat="1" applyFont="1" applyFill="1" applyBorder="1" applyAlignment="1">
      <alignment vertical="center"/>
    </xf>
    <xf numFmtId="49" fontId="67" fillId="0" borderId="10" xfId="42" applyNumberFormat="1" applyFont="1" applyFill="1" applyBorder="1" applyAlignment="1">
      <alignment horizontal="center" vertical="center"/>
    </xf>
    <xf numFmtId="171" fontId="68" fillId="0" borderId="0" xfId="0" applyNumberFormat="1" applyFont="1" applyFill="1" applyAlignment="1">
      <alignment vertical="center"/>
    </xf>
    <xf numFmtId="171" fontId="70" fillId="0" borderId="0" xfId="0" applyNumberFormat="1" applyFont="1" applyFill="1" applyAlignment="1">
      <alignment vertical="center"/>
    </xf>
    <xf numFmtId="171" fontId="63" fillId="0" borderId="0" xfId="0" applyNumberFormat="1" applyFont="1" applyFill="1" applyAlignment="1">
      <alignment vertical="center"/>
    </xf>
    <xf numFmtId="0" fontId="0" fillId="0" borderId="0" xfId="0" applyFill="1" applyAlignment="1">
      <alignment vertical="center"/>
    </xf>
    <xf numFmtId="0" fontId="69" fillId="0" borderId="0" xfId="0" applyFont="1" applyFill="1" applyAlignment="1">
      <alignment vertical="center"/>
    </xf>
    <xf numFmtId="0" fontId="0" fillId="0" borderId="0" xfId="0" applyFill="1" applyAlignment="1">
      <alignment/>
    </xf>
    <xf numFmtId="171" fontId="0" fillId="0" borderId="0" xfId="0" applyNumberFormat="1" applyFill="1" applyAlignment="1">
      <alignment/>
    </xf>
    <xf numFmtId="0" fontId="70" fillId="0" borderId="10" xfId="0" applyFont="1" applyFill="1" applyBorder="1" applyAlignment="1">
      <alignment vertical="center" wrapText="1"/>
    </xf>
    <xf numFmtId="171" fontId="6" fillId="0" borderId="10" xfId="42" applyNumberFormat="1" applyFont="1" applyFill="1" applyBorder="1" applyAlignment="1">
      <alignment horizontal="left" vertical="center" wrapText="1"/>
    </xf>
    <xf numFmtId="49" fontId="6" fillId="0" borderId="10" xfId="42" applyNumberFormat="1" applyFont="1" applyFill="1" applyBorder="1" applyAlignment="1">
      <alignment horizontal="left" vertical="center"/>
    </xf>
    <xf numFmtId="49" fontId="68" fillId="0" borderId="10" xfId="42" applyNumberFormat="1" applyFont="1" applyFill="1" applyBorder="1" applyAlignment="1">
      <alignment horizontal="left" vertical="center"/>
    </xf>
    <xf numFmtId="0" fontId="73" fillId="0" borderId="0" xfId="0" applyFont="1" applyAlignment="1">
      <alignment horizontal="center"/>
    </xf>
    <xf numFmtId="0" fontId="73" fillId="0" borderId="0" xfId="0" applyFont="1" applyAlignment="1">
      <alignment/>
    </xf>
    <xf numFmtId="0" fontId="68" fillId="0" borderId="12" xfId="0" applyFont="1" applyFill="1" applyBorder="1" applyAlignment="1">
      <alignment wrapText="1"/>
    </xf>
    <xf numFmtId="0" fontId="68" fillId="0" borderId="0" xfId="0" applyFont="1" applyAlignment="1">
      <alignment wrapText="1"/>
    </xf>
    <xf numFmtId="0" fontId="74" fillId="0" borderId="10" xfId="0" applyFont="1" applyFill="1" applyBorder="1" applyAlignment="1">
      <alignment horizontal="center" vertical="center"/>
    </xf>
    <xf numFmtId="0" fontId="68" fillId="0" borderId="10" xfId="0" applyFont="1" applyFill="1" applyBorder="1" applyAlignment="1">
      <alignment horizontal="center"/>
    </xf>
    <xf numFmtId="0" fontId="68" fillId="0" borderId="10" xfId="0" applyFont="1" applyFill="1" applyBorder="1" applyAlignment="1">
      <alignment/>
    </xf>
    <xf numFmtId="170" fontId="75" fillId="0" borderId="10" xfId="0" applyNumberFormat="1" applyFont="1" applyFill="1" applyBorder="1" applyAlignment="1">
      <alignment/>
    </xf>
    <xf numFmtId="170" fontId="68" fillId="0" borderId="10" xfId="0" applyNumberFormat="1" applyFont="1" applyFill="1" applyBorder="1" applyAlignment="1">
      <alignment/>
    </xf>
    <xf numFmtId="170" fontId="68" fillId="34" borderId="10" xfId="0" applyNumberFormat="1" applyFont="1" applyFill="1" applyBorder="1" applyAlignment="1">
      <alignment/>
    </xf>
    <xf numFmtId="0" fontId="68" fillId="0" borderId="10" xfId="0" applyFont="1" applyFill="1" applyBorder="1" applyAlignment="1">
      <alignment wrapText="1"/>
    </xf>
    <xf numFmtId="170" fontId="68" fillId="0" borderId="0" xfId="0" applyNumberFormat="1" applyFont="1" applyAlignment="1">
      <alignment wrapText="1"/>
    </xf>
    <xf numFmtId="0" fontId="73" fillId="0" borderId="0" xfId="0" applyFont="1" applyAlignment="1">
      <alignment/>
    </xf>
    <xf numFmtId="9" fontId="68" fillId="0" borderId="0" xfId="0" applyNumberFormat="1" applyFont="1" applyAlignment="1">
      <alignment/>
    </xf>
    <xf numFmtId="170" fontId="75" fillId="33" borderId="10" xfId="0" applyNumberFormat="1" applyFont="1" applyFill="1" applyBorder="1" applyAlignment="1">
      <alignment/>
    </xf>
    <xf numFmtId="0" fontId="68" fillId="0" borderId="0" xfId="0" applyFont="1" applyFill="1" applyBorder="1" applyAlignment="1">
      <alignment wrapText="1"/>
    </xf>
    <xf numFmtId="170" fontId="63" fillId="0" borderId="0" xfId="0" applyNumberFormat="1" applyFont="1" applyAlignment="1">
      <alignment wrapText="1"/>
    </xf>
    <xf numFmtId="0" fontId="68" fillId="0" borderId="0" xfId="0" applyFont="1" applyAlignment="1">
      <alignment horizontal="center"/>
    </xf>
    <xf numFmtId="0" fontId="63" fillId="0" borderId="10" xfId="0" applyFont="1" applyFill="1" applyBorder="1" applyAlignment="1">
      <alignment/>
    </xf>
    <xf numFmtId="170" fontId="63" fillId="0" borderId="10" xfId="0" applyNumberFormat="1" applyFont="1" applyFill="1" applyBorder="1" applyAlignment="1">
      <alignment/>
    </xf>
    <xf numFmtId="0" fontId="65" fillId="0" borderId="10" xfId="0" applyFont="1" applyFill="1" applyBorder="1" applyAlignment="1">
      <alignment/>
    </xf>
    <xf numFmtId="170" fontId="65" fillId="0" borderId="10" xfId="0" applyNumberFormat="1" applyFont="1" applyFill="1" applyBorder="1" applyAlignment="1">
      <alignment/>
    </xf>
    <xf numFmtId="0" fontId="65" fillId="0" borderId="10" xfId="0" applyFont="1" applyFill="1" applyBorder="1" applyAlignment="1">
      <alignment horizontal="center"/>
    </xf>
    <xf numFmtId="0" fontId="63" fillId="0" borderId="10" xfId="0" applyFont="1" applyFill="1" applyBorder="1" applyAlignment="1">
      <alignment horizontal="center"/>
    </xf>
    <xf numFmtId="170" fontId="74" fillId="0" borderId="10" xfId="0" applyNumberFormat="1" applyFont="1" applyFill="1" applyBorder="1" applyAlignment="1">
      <alignment/>
    </xf>
    <xf numFmtId="0" fontId="74" fillId="0" borderId="10" xfId="0" applyFont="1" applyFill="1" applyBorder="1" applyAlignment="1">
      <alignment horizontal="center" vertical="center" wrapText="1"/>
    </xf>
    <xf numFmtId="0" fontId="63" fillId="0" borderId="10" xfId="0" applyFont="1" applyFill="1" applyBorder="1" applyAlignment="1">
      <alignment horizontal="center" vertical="center"/>
    </xf>
    <xf numFmtId="0" fontId="63" fillId="0" borderId="10" xfId="0" applyFont="1" applyFill="1" applyBorder="1" applyAlignment="1">
      <alignment horizontal="center" vertical="center" wrapText="1"/>
    </xf>
    <xf numFmtId="0" fontId="63" fillId="0" borderId="10" xfId="0" applyFont="1" applyFill="1" applyBorder="1" applyAlignment="1">
      <alignment horizontal="center" vertical="center"/>
    </xf>
    <xf numFmtId="0" fontId="63" fillId="0" borderId="10" xfId="0" applyFont="1" applyFill="1" applyBorder="1" applyAlignment="1">
      <alignment horizontal="center" vertical="center" wrapText="1"/>
    </xf>
    <xf numFmtId="0" fontId="0" fillId="0" borderId="10" xfId="0" applyBorder="1" applyAlignment="1">
      <alignment vertical="center" wrapText="1"/>
    </xf>
    <xf numFmtId="170" fontId="68" fillId="33" borderId="10" xfId="0" applyNumberFormat="1" applyFont="1" applyFill="1" applyBorder="1" applyAlignment="1">
      <alignment horizontal="right"/>
    </xf>
    <xf numFmtId="170" fontId="68" fillId="0" borderId="10" xfId="0" applyNumberFormat="1" applyFont="1" applyFill="1" applyBorder="1" applyAlignment="1">
      <alignment horizontal="right"/>
    </xf>
    <xf numFmtId="170" fontId="68" fillId="0" borderId="10" xfId="0" applyNumberFormat="1" applyFont="1" applyFill="1" applyBorder="1" applyAlignment="1">
      <alignment wrapText="1"/>
    </xf>
    <xf numFmtId="170" fontId="68" fillId="0" borderId="10" xfId="0" applyNumberFormat="1" applyFont="1" applyFill="1" applyBorder="1" applyAlignment="1">
      <alignment horizontal="right" wrapText="1"/>
    </xf>
    <xf numFmtId="0" fontId="75" fillId="33" borderId="10" xfId="0" applyFont="1" applyFill="1" applyBorder="1" applyAlignment="1">
      <alignment wrapText="1"/>
    </xf>
    <xf numFmtId="170" fontId="63" fillId="33" borderId="10" xfId="0" applyNumberFormat="1" applyFont="1" applyFill="1" applyBorder="1" applyAlignment="1">
      <alignment/>
    </xf>
    <xf numFmtId="0" fontId="63" fillId="0" borderId="10" xfId="0" applyFont="1" applyFill="1" applyBorder="1" applyAlignment="1">
      <alignment wrapText="1"/>
    </xf>
    <xf numFmtId="0" fontId="68" fillId="0" borderId="0" xfId="0" applyFont="1" applyFill="1" applyBorder="1" applyAlignment="1">
      <alignment horizontal="center"/>
    </xf>
    <xf numFmtId="170" fontId="68" fillId="0" borderId="0" xfId="0" applyNumberFormat="1" applyFont="1" applyFill="1" applyBorder="1" applyAlignment="1">
      <alignment/>
    </xf>
    <xf numFmtId="0" fontId="63" fillId="0" borderId="10" xfId="0" applyFont="1" applyFill="1" applyBorder="1" applyAlignment="1">
      <alignment horizontal="center" vertical="center"/>
    </xf>
    <xf numFmtId="0" fontId="63" fillId="0" borderId="10" xfId="0" applyFont="1" applyFill="1" applyBorder="1" applyAlignment="1">
      <alignment horizontal="center" vertical="center" wrapText="1"/>
    </xf>
    <xf numFmtId="171" fontId="68" fillId="0" borderId="0" xfId="0" applyNumberFormat="1" applyFont="1" applyFill="1" applyAlignment="1">
      <alignment vertical="center"/>
    </xf>
    <xf numFmtId="171" fontId="70" fillId="0" borderId="0" xfId="0" applyNumberFormat="1" applyFont="1" applyFill="1" applyAlignment="1">
      <alignment vertical="center"/>
    </xf>
    <xf numFmtId="171" fontId="63" fillId="0" borderId="0" xfId="0" applyNumberFormat="1" applyFont="1" applyFill="1" applyAlignment="1">
      <alignment vertical="center"/>
    </xf>
    <xf numFmtId="0" fontId="68" fillId="0" borderId="10" xfId="0" applyFont="1" applyBorder="1" applyAlignment="1">
      <alignment/>
    </xf>
    <xf numFmtId="0" fontId="63" fillId="0" borderId="10" xfId="0" applyFont="1" applyBorder="1" applyAlignment="1">
      <alignment/>
    </xf>
    <xf numFmtId="0" fontId="68" fillId="0" borderId="10" xfId="0" applyFont="1" applyBorder="1" applyAlignment="1">
      <alignment horizontal="center" wrapText="1"/>
    </xf>
    <xf numFmtId="3" fontId="68" fillId="0" borderId="10" xfId="0" applyNumberFormat="1" applyFont="1" applyBorder="1" applyAlignment="1">
      <alignment vertical="center"/>
    </xf>
    <xf numFmtId="0" fontId="76" fillId="0" borderId="15" xfId="0" applyFont="1" applyBorder="1" applyAlignment="1">
      <alignment horizontal="center" vertical="center"/>
    </xf>
    <xf numFmtId="0" fontId="76" fillId="0" borderId="16" xfId="0" applyFont="1" applyBorder="1" applyAlignment="1">
      <alignment horizontal="center" vertical="center"/>
    </xf>
    <xf numFmtId="0" fontId="76" fillId="0" borderId="16" xfId="0" applyFont="1" applyBorder="1" applyAlignment="1">
      <alignment horizontal="center" vertical="center" wrapText="1"/>
    </xf>
    <xf numFmtId="0" fontId="77" fillId="0" borderId="17" xfId="0" applyFont="1" applyBorder="1" applyAlignment="1">
      <alignment horizontal="center" vertical="center"/>
    </xf>
    <xf numFmtId="0" fontId="77" fillId="0" borderId="18" xfId="0" applyFont="1" applyBorder="1" applyAlignment="1">
      <alignment vertical="center"/>
    </xf>
    <xf numFmtId="0" fontId="78" fillId="0" borderId="18" xfId="0" applyFont="1" applyBorder="1" applyAlignment="1">
      <alignment vertical="center" wrapText="1"/>
    </xf>
    <xf numFmtId="0" fontId="79" fillId="0" borderId="18" xfId="0" applyFont="1" applyBorder="1" applyAlignment="1">
      <alignment vertical="center" wrapText="1"/>
    </xf>
    <xf numFmtId="0" fontId="80" fillId="0" borderId="18" xfId="0" applyFont="1" applyBorder="1" applyAlignment="1">
      <alignment vertical="center" wrapText="1"/>
    </xf>
    <xf numFmtId="0" fontId="79" fillId="0" borderId="18" xfId="0" applyFont="1" applyBorder="1" applyAlignment="1">
      <alignment vertical="center"/>
    </xf>
    <xf numFmtId="0" fontId="81" fillId="0" borderId="17" xfId="0" applyFont="1" applyBorder="1" applyAlignment="1">
      <alignment horizontal="center" vertical="center"/>
    </xf>
    <xf numFmtId="0" fontId="81" fillId="0" borderId="18" xfId="0" applyFont="1" applyBorder="1" applyAlignment="1">
      <alignment vertical="center"/>
    </xf>
    <xf numFmtId="0" fontId="76" fillId="0" borderId="18" xfId="0" applyFont="1" applyBorder="1" applyAlignment="1">
      <alignment horizontal="right" vertical="center" wrapText="1"/>
    </xf>
    <xf numFmtId="170" fontId="68" fillId="0" borderId="0" xfId="0" applyNumberFormat="1" applyFont="1" applyAlignment="1">
      <alignment/>
    </xf>
    <xf numFmtId="171" fontId="0" fillId="0" borderId="0" xfId="0" applyNumberFormat="1" applyAlignment="1">
      <alignment vertical="center"/>
    </xf>
    <xf numFmtId="0" fontId="63" fillId="0" borderId="0" xfId="0" applyFont="1" applyAlignment="1">
      <alignment horizontal="center" vertical="center"/>
    </xf>
    <xf numFmtId="3" fontId="0" fillId="0" borderId="10" xfId="0" applyNumberFormat="1" applyBorder="1" applyAlignment="1">
      <alignment vertical="center"/>
    </xf>
    <xf numFmtId="0" fontId="0" fillId="33" borderId="10" xfId="0" applyFill="1" applyBorder="1" applyAlignment="1">
      <alignment vertical="center" wrapText="1"/>
    </xf>
    <xf numFmtId="0" fontId="63" fillId="0" borderId="10" xfId="0" applyFont="1" applyFill="1" applyBorder="1" applyAlignment="1">
      <alignment horizontal="center" vertical="center" wrapText="1"/>
    </xf>
    <xf numFmtId="0" fontId="70" fillId="0" borderId="0" xfId="0" applyFont="1" applyFill="1" applyAlignment="1">
      <alignment horizontal="right"/>
    </xf>
    <xf numFmtId="0" fontId="82" fillId="0" borderId="0" xfId="0" applyFont="1" applyFill="1" applyAlignment="1">
      <alignment vertical="center"/>
    </xf>
    <xf numFmtId="0" fontId="83" fillId="0" borderId="0" xfId="0" applyFont="1" applyFill="1" applyAlignment="1">
      <alignment vertical="center"/>
    </xf>
    <xf numFmtId="0" fontId="3" fillId="0" borderId="10" xfId="0" applyFont="1" applyFill="1" applyBorder="1" applyAlignment="1">
      <alignment horizontal="center" vertical="center" wrapText="1"/>
    </xf>
    <xf numFmtId="171" fontId="3" fillId="0" borderId="10" xfId="42" applyNumberFormat="1" applyFont="1" applyFill="1" applyBorder="1" applyAlignment="1">
      <alignment vertical="center" wrapText="1"/>
    </xf>
    <xf numFmtId="171" fontId="5" fillId="0" borderId="10" xfId="42" applyNumberFormat="1" applyFont="1" applyFill="1" applyBorder="1" applyAlignment="1">
      <alignment vertical="center" wrapText="1"/>
    </xf>
    <xf numFmtId="171" fontId="4" fillId="0" borderId="10" xfId="42" applyNumberFormat="1" applyFont="1" applyFill="1" applyBorder="1" applyAlignment="1">
      <alignment vertical="center" wrapText="1"/>
    </xf>
    <xf numFmtId="49" fontId="63" fillId="0" borderId="10" xfId="42" applyNumberFormat="1" applyFont="1" applyFill="1" applyBorder="1" applyAlignment="1">
      <alignment horizontal="left" vertical="center" wrapText="1"/>
    </xf>
    <xf numFmtId="171" fontId="68" fillId="0" borderId="10" xfId="42" applyNumberFormat="1" applyFont="1" applyFill="1" applyBorder="1" applyAlignment="1">
      <alignment horizontal="left" vertical="center" wrapText="1"/>
    </xf>
    <xf numFmtId="49" fontId="6" fillId="0" borderId="10" xfId="42" applyNumberFormat="1" applyFont="1" applyFill="1" applyBorder="1" applyAlignment="1">
      <alignment horizontal="left" vertical="center" wrapText="1"/>
    </xf>
    <xf numFmtId="49" fontId="68" fillId="0" borderId="10" xfId="42" applyNumberFormat="1" applyFont="1" applyFill="1" applyBorder="1" applyAlignment="1">
      <alignment horizontal="left" vertical="center" wrapText="1"/>
    </xf>
    <xf numFmtId="0" fontId="0" fillId="0" borderId="0" xfId="0" applyFill="1" applyAlignment="1">
      <alignment wrapText="1"/>
    </xf>
    <xf numFmtId="0" fontId="65" fillId="0" borderId="10" xfId="0" applyFont="1" applyFill="1" applyBorder="1" applyAlignment="1">
      <alignment wrapText="1"/>
    </xf>
    <xf numFmtId="0" fontId="0" fillId="0" borderId="0" xfId="0" applyFill="1" applyBorder="1" applyAlignment="1">
      <alignment wrapText="1"/>
    </xf>
    <xf numFmtId="0" fontId="77" fillId="0" borderId="18" xfId="0" applyFont="1" applyBorder="1" applyAlignment="1">
      <alignment horizontal="right" vertical="center" wrapText="1"/>
    </xf>
    <xf numFmtId="0" fontId="81" fillId="0" borderId="18" xfId="0" applyFont="1" applyBorder="1" applyAlignment="1">
      <alignment horizontal="right" vertical="center" wrapText="1"/>
    </xf>
    <xf numFmtId="0" fontId="63" fillId="0" borderId="10" xfId="0" applyFont="1" applyFill="1" applyBorder="1" applyAlignment="1">
      <alignment horizontal="center" vertical="center"/>
    </xf>
    <xf numFmtId="0" fontId="63" fillId="0" borderId="10" xfId="0" applyFont="1" applyFill="1" applyBorder="1" applyAlignment="1">
      <alignment horizontal="center" vertical="center" wrapText="1"/>
    </xf>
    <xf numFmtId="0" fontId="63" fillId="0" borderId="10" xfId="0" applyFont="1" applyFill="1" applyBorder="1" applyAlignment="1">
      <alignment horizontal="center" vertical="center"/>
    </xf>
    <xf numFmtId="0" fontId="63" fillId="0" borderId="10" xfId="0" applyFont="1" applyFill="1" applyBorder="1" applyAlignment="1">
      <alignment horizontal="center" vertical="center" wrapText="1"/>
    </xf>
    <xf numFmtId="0" fontId="0" fillId="0" borderId="12" xfId="0" applyBorder="1" applyAlignment="1">
      <alignment horizontal="center"/>
    </xf>
    <xf numFmtId="0" fontId="60" fillId="33" borderId="0" xfId="0" applyFont="1" applyFill="1" applyAlignment="1">
      <alignment horizontal="center" vertical="center" wrapText="1"/>
    </xf>
    <xf numFmtId="170" fontId="68" fillId="0" borderId="19" xfId="0" applyNumberFormat="1" applyFont="1" applyFill="1" applyBorder="1" applyAlignment="1">
      <alignment horizontal="center" vertical="center"/>
    </xf>
    <xf numFmtId="170" fontId="68" fillId="0" borderId="11" xfId="0" applyNumberFormat="1" applyFont="1" applyFill="1" applyBorder="1" applyAlignment="1">
      <alignment horizontal="center" vertical="center"/>
    </xf>
    <xf numFmtId="170" fontId="68" fillId="0" borderId="14" xfId="0" applyNumberFormat="1" applyFont="1" applyFill="1" applyBorder="1" applyAlignment="1">
      <alignment horizontal="center" vertical="center"/>
    </xf>
    <xf numFmtId="0" fontId="61" fillId="0" borderId="20" xfId="0" applyFont="1" applyBorder="1" applyAlignment="1">
      <alignment horizontal="center" wrapText="1"/>
    </xf>
    <xf numFmtId="170" fontId="0" fillId="0" borderId="19" xfId="0" applyNumberFormat="1" applyFill="1" applyBorder="1" applyAlignment="1">
      <alignment horizontal="center" vertical="center"/>
    </xf>
    <xf numFmtId="170" fontId="0" fillId="0" borderId="11" xfId="0" applyNumberFormat="1" applyFill="1" applyBorder="1" applyAlignment="1">
      <alignment horizontal="center" vertical="center"/>
    </xf>
    <xf numFmtId="170" fontId="0" fillId="0" borderId="14" xfId="0" applyNumberFormat="1" applyFill="1" applyBorder="1" applyAlignment="1">
      <alignment horizontal="center" vertical="center"/>
    </xf>
    <xf numFmtId="0" fontId="72" fillId="0" borderId="0" xfId="0" applyFont="1" applyFill="1" applyAlignment="1">
      <alignment horizontal="center" vertical="center"/>
    </xf>
    <xf numFmtId="49" fontId="2" fillId="0" borderId="10" xfId="42" applyNumberFormat="1" applyFont="1" applyFill="1" applyBorder="1" applyAlignment="1">
      <alignment horizontal="center" vertical="center"/>
    </xf>
    <xf numFmtId="0" fontId="73" fillId="35" borderId="12" xfId="0" applyFont="1" applyFill="1" applyBorder="1" applyAlignment="1">
      <alignment horizontal="left" wrapText="1"/>
    </xf>
    <xf numFmtId="0" fontId="73" fillId="0" borderId="12" xfId="0" applyFont="1" applyBorder="1" applyAlignment="1">
      <alignment horizontal="left" wrapText="1"/>
    </xf>
    <xf numFmtId="49" fontId="3" fillId="0" borderId="10" xfId="42" applyNumberFormat="1" applyFont="1" applyFill="1" applyBorder="1" applyAlignment="1" quotePrefix="1">
      <alignment horizontal="left" vertical="center" wrapText="1"/>
    </xf>
    <xf numFmtId="0" fontId="82" fillId="0" borderId="0" xfId="0" applyFont="1" applyFill="1" applyAlignment="1">
      <alignment horizontal="center" vertical="center" wrapText="1"/>
    </xf>
    <xf numFmtId="0" fontId="63" fillId="0" borderId="10" xfId="0" applyFont="1" applyFill="1" applyBorder="1" applyAlignment="1">
      <alignment horizontal="center" vertical="center"/>
    </xf>
    <xf numFmtId="0" fontId="60" fillId="0" borderId="0" xfId="0" applyFont="1" applyAlignment="1">
      <alignment horizontal="center" vertical="center" wrapText="1"/>
    </xf>
    <xf numFmtId="0" fontId="0" fillId="0" borderId="0" xfId="0" applyFill="1" applyBorder="1" applyAlignment="1">
      <alignment horizontal="left" wrapText="1"/>
    </xf>
    <xf numFmtId="0" fontId="0" fillId="0" borderId="12" xfId="0" applyFill="1" applyBorder="1" applyAlignment="1">
      <alignment horizontal="center" wrapText="1"/>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60" fillId="0" borderId="10" xfId="0" applyFont="1" applyBorder="1" applyAlignment="1">
      <alignment horizontal="center" vertical="center" wrapText="1"/>
    </xf>
    <xf numFmtId="0" fontId="60" fillId="33" borderId="10" xfId="0" applyFont="1" applyFill="1" applyBorder="1" applyAlignment="1">
      <alignment horizontal="center" vertical="center" wrapText="1"/>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68" fillId="0" borderId="0" xfId="0" applyFont="1" applyAlignment="1">
      <alignment horizontal="left" vertical="center" wrapText="1"/>
    </xf>
    <xf numFmtId="0" fontId="63" fillId="0" borderId="0" xfId="0" applyFont="1" applyBorder="1" applyAlignment="1">
      <alignment horizontal="center" wrapText="1"/>
    </xf>
    <xf numFmtId="0" fontId="70" fillId="0" borderId="0" xfId="0" applyFont="1" applyBorder="1" applyAlignment="1">
      <alignment horizontal="center" wrapText="1"/>
    </xf>
    <xf numFmtId="0" fontId="63" fillId="0" borderId="10" xfId="0" applyFont="1" applyFill="1" applyBorder="1" applyAlignment="1">
      <alignment horizontal="center" vertical="center" wrapText="1"/>
    </xf>
    <xf numFmtId="0" fontId="67" fillId="0" borderId="0" xfId="0" applyFont="1" applyAlignment="1">
      <alignment horizontal="center" wrapText="1"/>
    </xf>
    <xf numFmtId="0" fontId="70" fillId="0" borderId="10"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11" xfId="0" applyFont="1" applyFill="1" applyBorder="1" applyAlignment="1">
      <alignment horizontal="center" vertical="center"/>
    </xf>
    <xf numFmtId="0" fontId="60" fillId="0" borderId="0" xfId="0" applyFont="1" applyFill="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1" defaultTableStyle="TableStyleMedium2" defaultPivotStyle="PivotStyleMedium9">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1" name="Table1" displayName="Table1" ref="D4:J19" comment="" totalsRowShown="0">
  <autoFilter ref="D4:J19"/>
  <tableColumns count="7">
    <tableColumn id="1" name="Tổng số"/>
    <tableColumn id="2" name="ĐTPT"/>
    <tableColumn id="3" name="SN"/>
    <tableColumn id="6" name="Quyết định số"/>
    <tableColumn id="7" name="Ghi chú"/>
    <tableColumn id="4" name="Ghi chú3"/>
    <tableColumn id="5" name="Ghi chú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47"/>
  <sheetViews>
    <sheetView tabSelected="1" zoomScalePageLayoutView="0" workbookViewId="0" topLeftCell="A1">
      <selection activeCell="A2" sqref="A2:H2"/>
    </sheetView>
  </sheetViews>
  <sheetFormatPr defaultColWidth="8.8515625" defaultRowHeight="15"/>
  <cols>
    <col min="1" max="1" width="4.421875" style="1" customWidth="1"/>
    <col min="2" max="2" width="47.140625" style="0" customWidth="1"/>
    <col min="3" max="3" width="18.421875" style="16" hidden="1" customWidth="1"/>
    <col min="4" max="4" width="15.421875" style="0" customWidth="1"/>
    <col min="5" max="6" width="14.00390625" style="0" customWidth="1"/>
    <col min="7" max="7" width="17.8515625" style="0" hidden="1" customWidth="1"/>
    <col min="8" max="8" width="34.8515625" style="0" customWidth="1"/>
    <col min="9" max="9" width="17.28125" style="0" customWidth="1"/>
    <col min="10" max="10" width="25.421875" style="16" customWidth="1"/>
    <col min="11" max="12" width="8.8515625" style="0" customWidth="1"/>
    <col min="13" max="13" width="23.421875" style="0" customWidth="1"/>
    <col min="14" max="14" width="10.28125" style="0" customWidth="1"/>
    <col min="15" max="15" width="11.7109375" style="0" customWidth="1"/>
    <col min="16" max="16" width="14.7109375" style="0" customWidth="1"/>
  </cols>
  <sheetData>
    <row r="1" spans="1:9" ht="66" customHeight="1">
      <c r="A1" s="230" t="s">
        <v>239</v>
      </c>
      <c r="B1" s="230"/>
      <c r="C1" s="230"/>
      <c r="D1" s="230"/>
      <c r="E1" s="230"/>
      <c r="F1" s="230"/>
      <c r="G1" s="230"/>
      <c r="H1" s="230"/>
      <c r="I1" s="197"/>
    </row>
    <row r="2" spans="1:17" ht="23.25">
      <c r="A2" s="225" t="s">
        <v>238</v>
      </c>
      <c r="B2" s="225"/>
      <c r="C2" s="225"/>
      <c r="D2" s="225"/>
      <c r="E2" s="225"/>
      <c r="F2" s="225"/>
      <c r="G2" s="225"/>
      <c r="H2" s="225"/>
      <c r="I2" s="198"/>
      <c r="J2" s="198"/>
      <c r="K2" s="198"/>
      <c r="L2" s="198"/>
      <c r="M2" s="198"/>
      <c r="N2" s="198"/>
      <c r="O2" s="198"/>
      <c r="P2" s="198"/>
      <c r="Q2" s="198"/>
    </row>
    <row r="3" spans="1:10" ht="15">
      <c r="A3"/>
      <c r="B3" s="1"/>
      <c r="H3" s="196" t="s">
        <v>236</v>
      </c>
      <c r="J3"/>
    </row>
    <row r="4" spans="1:10" s="253" customFormat="1" ht="18.75">
      <c r="A4" s="214" t="s">
        <v>0</v>
      </c>
      <c r="B4" s="101" t="s">
        <v>136</v>
      </c>
      <c r="C4" s="199" t="s">
        <v>186</v>
      </c>
      <c r="D4" s="101" t="s">
        <v>43</v>
      </c>
      <c r="E4" s="101" t="s">
        <v>132</v>
      </c>
      <c r="F4" s="101" t="s">
        <v>133</v>
      </c>
      <c r="G4" s="101" t="s">
        <v>142</v>
      </c>
      <c r="H4" s="101" t="s">
        <v>40</v>
      </c>
      <c r="I4" s="251" t="s">
        <v>180</v>
      </c>
      <c r="J4" s="252" t="s">
        <v>218</v>
      </c>
    </row>
    <row r="5" spans="1:10" s="81" customFormat="1" ht="28.5">
      <c r="A5" s="98" t="s">
        <v>173</v>
      </c>
      <c r="B5" s="102" t="s">
        <v>185</v>
      </c>
      <c r="C5" s="200"/>
      <c r="D5" s="104">
        <f aca="true" t="shared" si="0" ref="D5:D11">E5+F5</f>
        <v>1155200</v>
      </c>
      <c r="E5" s="103">
        <f>E6+E7</f>
        <v>892300</v>
      </c>
      <c r="F5" s="103">
        <f>F6+F7</f>
        <v>262900</v>
      </c>
      <c r="G5" s="100" t="s">
        <v>143</v>
      </c>
      <c r="H5" s="215" t="s">
        <v>243</v>
      </c>
      <c r="I5" s="118" t="e">
        <f aca="true" t="shared" si="1" ref="I5:I19">E5/E2*100</f>
        <v>#DIV/0!</v>
      </c>
      <c r="J5" s="171">
        <f aca="true" t="shared" si="2" ref="J5:J19">F5-F1-F2</f>
        <v>262900</v>
      </c>
    </row>
    <row r="6" spans="1:10" s="96" customFormat="1" ht="30">
      <c r="A6" s="99">
        <v>1</v>
      </c>
      <c r="B6" s="105" t="s">
        <v>182</v>
      </c>
      <c r="C6" s="201"/>
      <c r="D6" s="107">
        <f t="shared" si="0"/>
        <v>1064200</v>
      </c>
      <c r="E6" s="106">
        <v>801300</v>
      </c>
      <c r="F6" s="106">
        <v>262900</v>
      </c>
      <c r="G6" s="108"/>
      <c r="H6" s="125" t="s">
        <v>181</v>
      </c>
      <c r="I6" s="119" t="e">
        <f t="shared" si="1"/>
        <v>#DIV/0!</v>
      </c>
      <c r="J6" s="172">
        <f t="shared" si="2"/>
        <v>262900</v>
      </c>
    </row>
    <row r="7" spans="1:10" s="96" customFormat="1" ht="18.75">
      <c r="A7" s="99">
        <v>2</v>
      </c>
      <c r="B7" s="105" t="s">
        <v>183</v>
      </c>
      <c r="C7" s="201"/>
      <c r="D7" s="107">
        <f t="shared" si="0"/>
        <v>91000</v>
      </c>
      <c r="E7" s="106">
        <v>91000</v>
      </c>
      <c r="F7" s="106"/>
      <c r="G7" s="108"/>
      <c r="H7" s="125" t="s">
        <v>241</v>
      </c>
      <c r="I7" s="119" t="e">
        <f t="shared" si="1"/>
        <v>#VALUE!</v>
      </c>
      <c r="J7" s="172" t="e">
        <f t="shared" si="2"/>
        <v>#VALUE!</v>
      </c>
    </row>
    <row r="8" spans="1:10" s="81" customFormat="1" ht="63" customHeight="1">
      <c r="A8" s="98" t="s">
        <v>174</v>
      </c>
      <c r="B8" s="229" t="s">
        <v>188</v>
      </c>
      <c r="C8" s="229"/>
      <c r="D8" s="104">
        <f t="shared" si="0"/>
        <v>801170</v>
      </c>
      <c r="E8" s="113">
        <f>E5-80130-11000</f>
        <v>801170</v>
      </c>
      <c r="F8" s="103"/>
      <c r="G8" s="111"/>
      <c r="H8" s="125" t="s">
        <v>187</v>
      </c>
      <c r="I8" s="121"/>
      <c r="J8" s="121"/>
    </row>
    <row r="9" spans="1:10" s="96" customFormat="1" ht="45">
      <c r="A9" s="99">
        <v>1</v>
      </c>
      <c r="B9" s="105" t="s">
        <v>182</v>
      </c>
      <c r="C9" s="202"/>
      <c r="D9" s="107">
        <f t="shared" si="0"/>
        <v>721170</v>
      </c>
      <c r="E9" s="106">
        <f>E6*0.9</f>
        <v>721170</v>
      </c>
      <c r="F9" s="106"/>
      <c r="G9" s="108"/>
      <c r="H9" s="125" t="s">
        <v>189</v>
      </c>
      <c r="I9" s="119">
        <f>E9/E18*100</f>
        <v>14423.400000000001</v>
      </c>
      <c r="J9" s="122"/>
    </row>
    <row r="10" spans="1:10" s="96" customFormat="1" ht="30">
      <c r="A10" s="99">
        <v>2</v>
      </c>
      <c r="B10" s="105" t="s">
        <v>184</v>
      </c>
      <c r="C10" s="202"/>
      <c r="D10" s="107">
        <f t="shared" si="0"/>
        <v>80000</v>
      </c>
      <c r="E10" s="106">
        <v>80000</v>
      </c>
      <c r="F10" s="106"/>
      <c r="G10" s="108"/>
      <c r="H10" s="125" t="s">
        <v>242</v>
      </c>
      <c r="I10" s="119">
        <f>E10/E19*100</f>
        <v>70.92198581560284</v>
      </c>
      <c r="J10" s="122"/>
    </row>
    <row r="11" spans="1:10" s="97" customFormat="1" ht="30">
      <c r="A11" s="98" t="s">
        <v>175</v>
      </c>
      <c r="B11" s="110" t="s">
        <v>240</v>
      </c>
      <c r="C11" s="203"/>
      <c r="D11" s="104">
        <f t="shared" si="0"/>
        <v>438920</v>
      </c>
      <c r="E11" s="104">
        <f>SUM(E12:E19)</f>
        <v>334720</v>
      </c>
      <c r="F11" s="104">
        <f>SUM(F12:F19)</f>
        <v>104200</v>
      </c>
      <c r="G11" s="111"/>
      <c r="H11" s="250" t="s">
        <v>237</v>
      </c>
      <c r="I11" s="120">
        <f>E11/E5*100</f>
        <v>37.51204751765101</v>
      </c>
      <c r="J11" s="173" t="e">
        <f>F11-F4-F5</f>
        <v>#VALUE!</v>
      </c>
    </row>
    <row r="12" spans="1:10" s="81" customFormat="1" ht="18.75" hidden="1">
      <c r="A12" s="231">
        <v>1</v>
      </c>
      <c r="B12" s="226" t="s">
        <v>176</v>
      </c>
      <c r="C12" s="204" t="s">
        <v>137</v>
      </c>
      <c r="D12" s="112">
        <f aca="true" t="shared" si="3" ref="D12:D19">E12+F12</f>
        <v>45100</v>
      </c>
      <c r="E12" s="113">
        <v>22000</v>
      </c>
      <c r="F12" s="113">
        <v>23100</v>
      </c>
      <c r="G12" s="114"/>
      <c r="H12" s="109"/>
      <c r="I12" s="118">
        <f>E12/E6*100</f>
        <v>2.7455384999376014</v>
      </c>
      <c r="J12" s="171">
        <f>F12-F5-F6</f>
        <v>-502700</v>
      </c>
    </row>
    <row r="13" spans="1:10" s="81" customFormat="1" ht="18.75" hidden="1">
      <c r="A13" s="231"/>
      <c r="B13" s="226"/>
      <c r="C13" s="126" t="s">
        <v>138</v>
      </c>
      <c r="D13" s="112">
        <f t="shared" si="3"/>
        <v>2000</v>
      </c>
      <c r="E13" s="115"/>
      <c r="F13" s="113">
        <v>2000</v>
      </c>
      <c r="G13" s="114"/>
      <c r="H13" s="109"/>
      <c r="I13" s="118">
        <f>E13/E7*100</f>
        <v>0</v>
      </c>
      <c r="J13" s="171">
        <f>F13-F6-F7</f>
        <v>-260900</v>
      </c>
    </row>
    <row r="14" spans="1:17" s="81" customFormat="1" ht="18.75" hidden="1">
      <c r="A14" s="231"/>
      <c r="B14" s="226"/>
      <c r="C14" s="204" t="s">
        <v>134</v>
      </c>
      <c r="D14" s="112">
        <f>E14+F14</f>
        <v>80000</v>
      </c>
      <c r="E14" s="116">
        <v>80000</v>
      </c>
      <c r="F14" s="116"/>
      <c r="G14" s="114"/>
      <c r="H14" s="109"/>
      <c r="I14" s="118">
        <f t="shared" si="1"/>
        <v>23.900573613766728</v>
      </c>
      <c r="J14" s="171">
        <f>F14-F7-F11</f>
        <v>-104200</v>
      </c>
      <c r="P14" s="81" t="s">
        <v>233</v>
      </c>
      <c r="Q14" s="81" t="s">
        <v>234</v>
      </c>
    </row>
    <row r="15" spans="1:17" s="81" customFormat="1" ht="18.75" hidden="1">
      <c r="A15" s="231">
        <v>2</v>
      </c>
      <c r="B15" s="226" t="s">
        <v>177</v>
      </c>
      <c r="C15" s="205" t="s">
        <v>139</v>
      </c>
      <c r="D15" s="112">
        <f t="shared" si="3"/>
        <v>130300</v>
      </c>
      <c r="E15" s="113">
        <v>99000</v>
      </c>
      <c r="F15" s="113">
        <v>31300</v>
      </c>
      <c r="G15" s="114"/>
      <c r="H15" s="109"/>
      <c r="I15" s="118">
        <f t="shared" si="1"/>
        <v>450</v>
      </c>
      <c r="J15" s="171">
        <f t="shared" si="2"/>
        <v>-96000</v>
      </c>
      <c r="M15" s="226" t="s">
        <v>177</v>
      </c>
      <c r="N15" s="127" t="s">
        <v>139</v>
      </c>
      <c r="O15" s="112"/>
      <c r="P15" s="113">
        <v>99000</v>
      </c>
      <c r="Q15" s="81">
        <v>7810</v>
      </c>
    </row>
    <row r="16" spans="1:17" s="81" customFormat="1" ht="18.75" hidden="1">
      <c r="A16" s="231"/>
      <c r="B16" s="226"/>
      <c r="C16" s="205" t="s">
        <v>140</v>
      </c>
      <c r="D16" s="112">
        <f t="shared" si="3"/>
        <v>6220</v>
      </c>
      <c r="E16" s="113">
        <v>4920</v>
      </c>
      <c r="F16" s="113">
        <v>1300</v>
      </c>
      <c r="G16" s="114"/>
      <c r="H16" s="109"/>
      <c r="I16" s="118" t="e">
        <f t="shared" si="1"/>
        <v>#DIV/0!</v>
      </c>
      <c r="J16" s="171">
        <f t="shared" si="2"/>
        <v>-23800</v>
      </c>
      <c r="M16" s="226"/>
      <c r="N16" s="127" t="s">
        <v>140</v>
      </c>
      <c r="O16" s="112"/>
      <c r="P16" s="113">
        <v>4920</v>
      </c>
      <c r="Q16" s="81">
        <v>69330</v>
      </c>
    </row>
    <row r="17" spans="1:17" s="81" customFormat="1" ht="30" hidden="1">
      <c r="A17" s="231"/>
      <c r="B17" s="226"/>
      <c r="C17" s="206" t="s">
        <v>141</v>
      </c>
      <c r="D17" s="112">
        <f t="shared" si="3"/>
        <v>11000</v>
      </c>
      <c r="E17" s="116">
        <v>11000</v>
      </c>
      <c r="F17" s="116"/>
      <c r="G17" s="114"/>
      <c r="H17" s="109"/>
      <c r="I17" s="118">
        <f t="shared" si="1"/>
        <v>13.750000000000002</v>
      </c>
      <c r="J17" s="171">
        <f t="shared" si="2"/>
        <v>-2000</v>
      </c>
      <c r="M17" s="226"/>
      <c r="N17" s="128" t="s">
        <v>141</v>
      </c>
      <c r="O17" s="112"/>
      <c r="P17" s="116">
        <v>11000</v>
      </c>
      <c r="Q17" s="81">
        <v>6248</v>
      </c>
    </row>
    <row r="18" spans="1:16" s="81" customFormat="1" ht="30" hidden="1">
      <c r="A18" s="231"/>
      <c r="B18" s="226"/>
      <c r="C18" s="206" t="s">
        <v>179</v>
      </c>
      <c r="D18" s="112">
        <f t="shared" si="3"/>
        <v>5000</v>
      </c>
      <c r="E18" s="116">
        <v>5000</v>
      </c>
      <c r="F18" s="116"/>
      <c r="G18" s="114"/>
      <c r="H18" s="109"/>
      <c r="I18" s="118">
        <f t="shared" si="1"/>
        <v>5.05050505050505</v>
      </c>
      <c r="J18" s="171">
        <f t="shared" si="2"/>
        <v>-31300</v>
      </c>
      <c r="M18" s="226"/>
      <c r="N18" s="128" t="s">
        <v>179</v>
      </c>
      <c r="O18" s="112"/>
      <c r="P18" s="116">
        <v>5000</v>
      </c>
    </row>
    <row r="19" spans="1:17" s="81" customFormat="1" ht="18.75" hidden="1">
      <c r="A19" s="98">
        <v>3</v>
      </c>
      <c r="B19" s="117" t="s">
        <v>178</v>
      </c>
      <c r="C19" s="206" t="s">
        <v>135</v>
      </c>
      <c r="D19" s="112">
        <f t="shared" si="3"/>
        <v>159300</v>
      </c>
      <c r="E19" s="116">
        <v>112800</v>
      </c>
      <c r="F19" s="116">
        <v>46500</v>
      </c>
      <c r="G19" s="114"/>
      <c r="H19" s="109"/>
      <c r="I19" s="118">
        <f t="shared" si="1"/>
        <v>2292.682926829268</v>
      </c>
      <c r="J19" s="171">
        <f t="shared" si="2"/>
        <v>13900</v>
      </c>
      <c r="P19" s="191">
        <f>SUM(P15:P18)</f>
        <v>119920</v>
      </c>
      <c r="Q19" s="191">
        <f>SUM(Q15:Q18)</f>
        <v>83388</v>
      </c>
    </row>
    <row r="20" spans="1:10" ht="15" customHeight="1">
      <c r="A20"/>
      <c r="B20" s="123"/>
      <c r="C20" s="207"/>
      <c r="D20" s="123"/>
      <c r="E20" s="124">
        <f>E12+E15+E16+E18</f>
        <v>130920</v>
      </c>
      <c r="F20" s="123"/>
      <c r="G20" s="123"/>
      <c r="H20" s="124">
        <f>F11/F5*100</f>
        <v>39.63484214530239</v>
      </c>
      <c r="I20" s="123"/>
      <c r="J20" s="123"/>
    </row>
    <row r="21" spans="2:9" ht="15">
      <c r="B21" s="232" t="s">
        <v>49</v>
      </c>
      <c r="C21" s="232"/>
      <c r="D21" s="232"/>
      <c r="E21" s="232"/>
      <c r="F21" s="232"/>
      <c r="G21" s="232"/>
      <c r="H21" s="232"/>
      <c r="I21" s="232"/>
    </row>
    <row r="22" spans="2:9" ht="15">
      <c r="B22" s="232"/>
      <c r="C22" s="232"/>
      <c r="D22" s="232"/>
      <c r="E22" s="232"/>
      <c r="F22" s="232"/>
      <c r="G22" s="232"/>
      <c r="H22" s="232"/>
      <c r="I22" s="232"/>
    </row>
    <row r="23" spans="1:10" s="94" customFormat="1" ht="36.75" customHeight="1">
      <c r="A23" s="129"/>
      <c r="B23" s="130" t="s">
        <v>202</v>
      </c>
      <c r="C23" s="131"/>
      <c r="D23" s="131"/>
      <c r="E23" s="131"/>
      <c r="F23" s="131"/>
      <c r="G23" s="131"/>
      <c r="H23" s="131"/>
      <c r="I23" s="131"/>
      <c r="J23" s="132"/>
    </row>
    <row r="24" spans="1:10" s="94" customFormat="1" ht="42.75">
      <c r="A24" s="98" t="s">
        <v>0</v>
      </c>
      <c r="B24" s="98" t="s">
        <v>2</v>
      </c>
      <c r="C24" s="195" t="s">
        <v>11</v>
      </c>
      <c r="D24" s="133" t="s">
        <v>196</v>
      </c>
      <c r="E24" s="83" t="s">
        <v>16</v>
      </c>
      <c r="F24" s="98" t="s">
        <v>17</v>
      </c>
      <c r="G24" s="83" t="s">
        <v>12</v>
      </c>
      <c r="H24" s="83" t="s">
        <v>193</v>
      </c>
      <c r="I24" s="83" t="s">
        <v>190</v>
      </c>
      <c r="J24" s="132"/>
    </row>
    <row r="25" spans="1:10" s="94" customFormat="1" ht="15">
      <c r="A25" s="134">
        <v>1</v>
      </c>
      <c r="B25" s="135" t="s">
        <v>191</v>
      </c>
      <c r="C25" s="139">
        <v>52</v>
      </c>
      <c r="D25" s="136">
        <v>4</v>
      </c>
      <c r="E25" s="137">
        <f>C25*D25</f>
        <v>208</v>
      </c>
      <c r="F25" s="137">
        <f>801170/E29*E25</f>
        <v>548168.9473684211</v>
      </c>
      <c r="G25" s="137">
        <f>F25/C25</f>
        <v>10541.71052631579</v>
      </c>
      <c r="H25" s="138">
        <v>10500</v>
      </c>
      <c r="I25" s="137">
        <f>C25*H25</f>
        <v>546000</v>
      </c>
      <c r="J25" s="132">
        <v>52</v>
      </c>
    </row>
    <row r="26" spans="1:12" s="94" customFormat="1" ht="15">
      <c r="A26" s="134">
        <v>2</v>
      </c>
      <c r="B26" s="139" t="s">
        <v>201</v>
      </c>
      <c r="C26" s="139">
        <v>40</v>
      </c>
      <c r="D26" s="136">
        <v>1.3</v>
      </c>
      <c r="E26" s="137">
        <f>C26*D26</f>
        <v>52</v>
      </c>
      <c r="F26" s="137">
        <f>801170/E29*E26</f>
        <v>137042.23684210528</v>
      </c>
      <c r="G26" s="137">
        <f>F26/C26</f>
        <v>3426.055921052632</v>
      </c>
      <c r="H26" s="138">
        <v>3500</v>
      </c>
      <c r="I26" s="137">
        <f>C26*H26</f>
        <v>140000</v>
      </c>
      <c r="J26" s="132"/>
      <c r="L26" s="94">
        <f>H25/H27</f>
        <v>3.9548022598870056</v>
      </c>
    </row>
    <row r="27" spans="1:10" s="94" customFormat="1" ht="15">
      <c r="A27" s="134">
        <v>3</v>
      </c>
      <c r="B27" s="135" t="s">
        <v>194</v>
      </c>
      <c r="C27" s="139">
        <v>14</v>
      </c>
      <c r="D27" s="136">
        <v>1</v>
      </c>
      <c r="E27" s="137">
        <f>C27*D27</f>
        <v>14</v>
      </c>
      <c r="F27" s="137">
        <f>801170/E29*E27</f>
        <v>36895.98684210527</v>
      </c>
      <c r="G27" s="137">
        <f>F27/C27</f>
        <v>2635.4276315789475</v>
      </c>
      <c r="H27" s="138">
        <v>2655</v>
      </c>
      <c r="I27" s="137">
        <f>C27*H27</f>
        <v>37170</v>
      </c>
      <c r="J27" s="132">
        <v>14</v>
      </c>
    </row>
    <row r="28" spans="1:10" s="94" customFormat="1" ht="15">
      <c r="A28" s="134">
        <v>4</v>
      </c>
      <c r="B28" s="135" t="s">
        <v>192</v>
      </c>
      <c r="C28" s="139">
        <v>30</v>
      </c>
      <c r="D28" s="136">
        <v>1</v>
      </c>
      <c r="E28" s="137">
        <f>C28*D28</f>
        <v>30</v>
      </c>
      <c r="F28" s="137">
        <f>801170/E29*E28</f>
        <v>79062.82894736843</v>
      </c>
      <c r="G28" s="137">
        <f>F28/C28</f>
        <v>2635.4276315789475</v>
      </c>
      <c r="H28" s="138">
        <v>2600</v>
      </c>
      <c r="I28" s="137">
        <f>C28*H28</f>
        <v>78000</v>
      </c>
      <c r="J28" s="132"/>
    </row>
    <row r="29" spans="1:11" s="95" customFormat="1" ht="14.25">
      <c r="A29" s="152"/>
      <c r="B29" s="147" t="s">
        <v>6</v>
      </c>
      <c r="C29" s="166">
        <f>SUM(C25:C28)</f>
        <v>136</v>
      </c>
      <c r="D29" s="153"/>
      <c r="E29" s="148">
        <f>SUM(E25:E28)</f>
        <v>304</v>
      </c>
      <c r="F29" s="148">
        <f>SUM(F25:F28)</f>
        <v>801170.0000000001</v>
      </c>
      <c r="G29" s="148"/>
      <c r="H29" s="148"/>
      <c r="I29" s="148">
        <f>SUM(I25:I28)</f>
        <v>801170</v>
      </c>
      <c r="J29" s="145">
        <f>F29-I29</f>
        <v>0</v>
      </c>
      <c r="K29" s="95">
        <f>J29/7</f>
        <v>0</v>
      </c>
    </row>
    <row r="30" spans="1:10" s="94" customFormat="1" ht="15">
      <c r="A30" s="151"/>
      <c r="B30" s="149" t="s">
        <v>198</v>
      </c>
      <c r="C30" s="208"/>
      <c r="D30" s="150"/>
      <c r="E30" s="150"/>
      <c r="F30" s="150"/>
      <c r="G30" s="150"/>
      <c r="H30" s="150"/>
      <c r="I30" s="150">
        <f>F29-I29</f>
        <v>0</v>
      </c>
      <c r="J30" s="140"/>
    </row>
    <row r="31" spans="1:10" s="94" customFormat="1" ht="15">
      <c r="A31" s="151"/>
      <c r="B31" s="149" t="s">
        <v>195</v>
      </c>
      <c r="C31" s="208"/>
      <c r="D31" s="150"/>
      <c r="E31" s="150"/>
      <c r="F31" s="150"/>
      <c r="G31" s="150"/>
      <c r="H31" s="150"/>
      <c r="I31" s="150">
        <f>F29/E29</f>
        <v>2635.427631578948</v>
      </c>
      <c r="J31" s="140"/>
    </row>
    <row r="32" spans="1:10" s="94" customFormat="1" ht="36.75" customHeight="1">
      <c r="A32" s="129"/>
      <c r="B32" s="141" t="s">
        <v>206</v>
      </c>
      <c r="C32" s="131"/>
      <c r="D32" s="131"/>
      <c r="E32" s="131"/>
      <c r="F32" s="131"/>
      <c r="G32" s="131"/>
      <c r="H32" s="131"/>
      <c r="I32" s="131"/>
      <c r="J32" s="132"/>
    </row>
    <row r="33" spans="1:14" s="94" customFormat="1" ht="42.75">
      <c r="A33" s="98" t="s">
        <v>0</v>
      </c>
      <c r="B33" s="98" t="s">
        <v>2</v>
      </c>
      <c r="C33" s="195" t="s">
        <v>11</v>
      </c>
      <c r="D33" s="154" t="s">
        <v>197</v>
      </c>
      <c r="E33" s="83" t="s">
        <v>16</v>
      </c>
      <c r="F33" s="98" t="s">
        <v>17</v>
      </c>
      <c r="G33" s="83" t="s">
        <v>12</v>
      </c>
      <c r="H33" s="83" t="s">
        <v>193</v>
      </c>
      <c r="I33" s="83" t="s">
        <v>190</v>
      </c>
      <c r="J33" s="132"/>
      <c r="M33" s="94" t="s">
        <v>15</v>
      </c>
      <c r="N33" s="142">
        <v>0.3</v>
      </c>
    </row>
    <row r="34" spans="1:14" s="94" customFormat="1" ht="15">
      <c r="A34" s="134">
        <v>1</v>
      </c>
      <c r="B34" s="135" t="s">
        <v>191</v>
      </c>
      <c r="C34" s="139">
        <v>52</v>
      </c>
      <c r="D34" s="143">
        <v>3</v>
      </c>
      <c r="E34" s="137">
        <f>C34*D34</f>
        <v>156</v>
      </c>
      <c r="F34" s="137">
        <f>801170/E38*E34</f>
        <v>446366.14285714284</v>
      </c>
      <c r="G34" s="137">
        <f>F34/C34</f>
        <v>8583.964285714286</v>
      </c>
      <c r="H34" s="138">
        <v>8600</v>
      </c>
      <c r="I34" s="137">
        <f>C34*H34</f>
        <v>447200</v>
      </c>
      <c r="J34" s="132"/>
      <c r="K34" s="94" t="s">
        <v>144</v>
      </c>
      <c r="L34" s="94">
        <v>9000</v>
      </c>
      <c r="N34" s="94">
        <f>L34*0.3</f>
        <v>2700</v>
      </c>
    </row>
    <row r="35" spans="1:14" s="94" customFormat="1" ht="15">
      <c r="A35" s="134">
        <v>2</v>
      </c>
      <c r="B35" s="139" t="s">
        <v>201</v>
      </c>
      <c r="C35" s="139">
        <v>40</v>
      </c>
      <c r="D35" s="143">
        <v>2</v>
      </c>
      <c r="E35" s="137">
        <f>C35*D35</f>
        <v>80</v>
      </c>
      <c r="F35" s="137">
        <f>801170/E38*E35</f>
        <v>228905.71428571426</v>
      </c>
      <c r="G35" s="137">
        <f>F35/C35</f>
        <v>5722.642857142857</v>
      </c>
      <c r="H35" s="138">
        <v>5700</v>
      </c>
      <c r="I35" s="137">
        <f>C35*H35</f>
        <v>228000</v>
      </c>
      <c r="J35" s="132"/>
      <c r="K35" s="94" t="s">
        <v>145</v>
      </c>
      <c r="L35" s="94">
        <v>7000</v>
      </c>
      <c r="M35" s="94">
        <v>5500</v>
      </c>
      <c r="N35" s="94">
        <f>L35*0.3</f>
        <v>2100</v>
      </c>
    </row>
    <row r="36" spans="1:10" s="94" customFormat="1" ht="15">
      <c r="A36" s="134">
        <v>3</v>
      </c>
      <c r="B36" s="135" t="s">
        <v>194</v>
      </c>
      <c r="C36" s="139">
        <v>14</v>
      </c>
      <c r="D36" s="136">
        <v>1</v>
      </c>
      <c r="E36" s="137">
        <f>C36*D36</f>
        <v>14</v>
      </c>
      <c r="F36" s="137">
        <f>801170/E38*E36</f>
        <v>40058.5</v>
      </c>
      <c r="G36" s="137">
        <f>F36/C36</f>
        <v>2861.3214285714284</v>
      </c>
      <c r="H36" s="138">
        <v>2880</v>
      </c>
      <c r="I36" s="137">
        <f>C36*H36</f>
        <v>40320</v>
      </c>
      <c r="J36" s="132"/>
    </row>
    <row r="37" spans="1:10" s="94" customFormat="1" ht="15">
      <c r="A37" s="134">
        <v>4</v>
      </c>
      <c r="B37" s="135" t="s">
        <v>192</v>
      </c>
      <c r="C37" s="139">
        <v>30</v>
      </c>
      <c r="D37" s="136">
        <v>1</v>
      </c>
      <c r="E37" s="137">
        <f>C37*D37</f>
        <v>30</v>
      </c>
      <c r="F37" s="137">
        <f>801170/E38*E37</f>
        <v>85839.64285714286</v>
      </c>
      <c r="G37" s="137">
        <f>F37/C37</f>
        <v>2861.3214285714284</v>
      </c>
      <c r="H37" s="138">
        <v>2855</v>
      </c>
      <c r="I37" s="137">
        <f>C37*H37</f>
        <v>85650</v>
      </c>
      <c r="J37" s="132"/>
    </row>
    <row r="38" spans="1:10" s="95" customFormat="1" ht="14.25">
      <c r="A38" s="152"/>
      <c r="B38" s="147" t="s">
        <v>6</v>
      </c>
      <c r="C38" s="166">
        <f>SUM(C34:C37)</f>
        <v>136</v>
      </c>
      <c r="D38" s="153"/>
      <c r="E38" s="148">
        <f>SUM(E34:E37)</f>
        <v>280</v>
      </c>
      <c r="F38" s="148">
        <f>SUM(F34:F37)</f>
        <v>801169.9999999999</v>
      </c>
      <c r="G38" s="148"/>
      <c r="H38" s="148"/>
      <c r="I38" s="148">
        <f>SUM(I34:I37)</f>
        <v>801170</v>
      </c>
      <c r="J38" s="145"/>
    </row>
    <row r="39" spans="1:10" s="94" customFormat="1" ht="15">
      <c r="A39" s="151"/>
      <c r="B39" s="149" t="s">
        <v>198</v>
      </c>
      <c r="C39" s="208"/>
      <c r="D39" s="150"/>
      <c r="E39" s="150"/>
      <c r="F39" s="150"/>
      <c r="G39" s="150"/>
      <c r="H39" s="150"/>
      <c r="I39" s="150">
        <f>F38-I38</f>
        <v>0</v>
      </c>
      <c r="J39" s="140"/>
    </row>
    <row r="40" spans="1:10" s="94" customFormat="1" ht="15">
      <c r="A40" s="151"/>
      <c r="B40" s="149" t="s">
        <v>195</v>
      </c>
      <c r="C40" s="208"/>
      <c r="D40" s="150"/>
      <c r="E40" s="150"/>
      <c r="F40" s="150"/>
      <c r="G40" s="150"/>
      <c r="H40" s="150"/>
      <c r="I40" s="150">
        <f>F38/E38</f>
        <v>2861.321428571428</v>
      </c>
      <c r="J40" s="140"/>
    </row>
    <row r="41" spans="1:10" s="94" customFormat="1" ht="15" customHeight="1">
      <c r="A41" s="144"/>
      <c r="B41" s="144"/>
      <c r="C41" s="144"/>
      <c r="D41" s="144"/>
      <c r="E41" s="144"/>
      <c r="F41" s="144"/>
      <c r="G41" s="144"/>
      <c r="H41" s="144"/>
      <c r="I41" s="144"/>
      <c r="J41" s="132"/>
    </row>
    <row r="42" spans="1:10" s="94" customFormat="1" ht="15">
      <c r="A42" s="146"/>
      <c r="C42" s="132"/>
      <c r="J42" s="132"/>
    </row>
    <row r="43" spans="1:10" s="94" customFormat="1" ht="36.75" customHeight="1">
      <c r="A43" s="129"/>
      <c r="B43" s="228" t="s">
        <v>199</v>
      </c>
      <c r="C43" s="228"/>
      <c r="D43" s="228"/>
      <c r="E43" s="228"/>
      <c r="F43" s="228"/>
      <c r="G43" s="228"/>
      <c r="H43" s="228"/>
      <c r="I43" s="228"/>
      <c r="J43" s="132"/>
    </row>
    <row r="44" spans="1:16" s="94" customFormat="1" ht="60">
      <c r="A44" s="98" t="s">
        <v>0</v>
      </c>
      <c r="B44" s="98" t="s">
        <v>2</v>
      </c>
      <c r="C44" s="195" t="s">
        <v>11</v>
      </c>
      <c r="D44" s="154" t="s">
        <v>197</v>
      </c>
      <c r="E44" s="83" t="s">
        <v>16</v>
      </c>
      <c r="F44" s="98" t="s">
        <v>17</v>
      </c>
      <c r="G44" s="83" t="s">
        <v>12</v>
      </c>
      <c r="H44" s="83" t="s">
        <v>193</v>
      </c>
      <c r="I44" s="83" t="s">
        <v>190</v>
      </c>
      <c r="J44" s="132"/>
      <c r="L44" s="169" t="s">
        <v>0</v>
      </c>
      <c r="M44" s="169" t="s">
        <v>2</v>
      </c>
      <c r="N44" s="170" t="s">
        <v>219</v>
      </c>
      <c r="O44" s="170" t="s">
        <v>220</v>
      </c>
      <c r="P44" s="176" t="s">
        <v>221</v>
      </c>
    </row>
    <row r="45" spans="1:16" s="94" customFormat="1" ht="15">
      <c r="A45" s="134">
        <v>1</v>
      </c>
      <c r="B45" s="135" t="s">
        <v>191</v>
      </c>
      <c r="C45" s="139">
        <v>52</v>
      </c>
      <c r="D45" s="143">
        <v>3</v>
      </c>
      <c r="E45" s="137">
        <f>C45*D45</f>
        <v>156</v>
      </c>
      <c r="F45" s="137">
        <f>801170/E49*E45</f>
        <v>439769.59887403244</v>
      </c>
      <c r="G45" s="137">
        <f>F45/C45</f>
        <v>8457.10767065447</v>
      </c>
      <c r="H45" s="138">
        <v>8500</v>
      </c>
      <c r="I45" s="137">
        <f>C45*H45</f>
        <v>442000</v>
      </c>
      <c r="J45" s="132"/>
      <c r="L45" s="134">
        <v>1</v>
      </c>
      <c r="M45" s="135" t="s">
        <v>191</v>
      </c>
      <c r="N45" s="138">
        <v>8500</v>
      </c>
      <c r="O45" s="138">
        <v>8135</v>
      </c>
      <c r="P45" s="174"/>
    </row>
    <row r="46" spans="1:16" s="94" customFormat="1" ht="30">
      <c r="A46" s="134">
        <v>2</v>
      </c>
      <c r="B46" s="139" t="s">
        <v>201</v>
      </c>
      <c r="C46" s="139">
        <v>40</v>
      </c>
      <c r="D46" s="143">
        <v>2</v>
      </c>
      <c r="E46" s="137">
        <f>C46*D46</f>
        <v>80</v>
      </c>
      <c r="F46" s="137">
        <f>801170/E49*E46</f>
        <v>225522.8712174525</v>
      </c>
      <c r="G46" s="137">
        <f>F46/C46</f>
        <v>5638.071780436313</v>
      </c>
      <c r="H46" s="138">
        <v>5600</v>
      </c>
      <c r="I46" s="137">
        <f>C46*H46</f>
        <v>224000</v>
      </c>
      <c r="J46" s="132"/>
      <c r="L46" s="134">
        <v>2</v>
      </c>
      <c r="M46" s="139" t="s">
        <v>201</v>
      </c>
      <c r="N46" s="138">
        <v>5600</v>
      </c>
      <c r="O46" s="138">
        <v>5500</v>
      </c>
      <c r="P46" s="177">
        <v>5500</v>
      </c>
    </row>
    <row r="47" spans="1:16" s="94" customFormat="1" ht="15">
      <c r="A47" s="134">
        <v>3</v>
      </c>
      <c r="B47" s="135" t="s">
        <v>194</v>
      </c>
      <c r="C47" s="139">
        <v>14</v>
      </c>
      <c r="D47" s="136">
        <v>1.3</v>
      </c>
      <c r="E47" s="137">
        <f>C47*D47</f>
        <v>18.2</v>
      </c>
      <c r="F47" s="137">
        <f>801170/E49*E47</f>
        <v>51306.45320197045</v>
      </c>
      <c r="G47" s="137">
        <f>F47/C47</f>
        <v>3664.7466572836033</v>
      </c>
      <c r="H47" s="138">
        <v>3655</v>
      </c>
      <c r="I47" s="137">
        <f>C47*H47</f>
        <v>51170</v>
      </c>
      <c r="J47" s="132">
        <f>H47/H48</f>
        <v>1.3053571428571429</v>
      </c>
      <c r="L47" s="134">
        <v>3</v>
      </c>
      <c r="M47" s="135" t="s">
        <v>194</v>
      </c>
      <c r="N47" s="138">
        <v>3655</v>
      </c>
      <c r="O47" s="138">
        <v>5500</v>
      </c>
      <c r="P47" s="174"/>
    </row>
    <row r="48" spans="1:16" s="94" customFormat="1" ht="15">
      <c r="A48" s="134">
        <v>4</v>
      </c>
      <c r="B48" s="135" t="s">
        <v>192</v>
      </c>
      <c r="C48" s="139">
        <v>30</v>
      </c>
      <c r="D48" s="136">
        <v>1</v>
      </c>
      <c r="E48" s="137">
        <f>C48*D48</f>
        <v>30</v>
      </c>
      <c r="F48" s="137">
        <f>801170/E49*E48</f>
        <v>84571.0767065447</v>
      </c>
      <c r="G48" s="137">
        <f>F48/C48</f>
        <v>2819.0358902181565</v>
      </c>
      <c r="H48" s="138">
        <v>2800</v>
      </c>
      <c r="I48" s="137">
        <f>C48*H48</f>
        <v>84000</v>
      </c>
      <c r="J48" s="132"/>
      <c r="L48" s="134">
        <v>4</v>
      </c>
      <c r="M48" s="135" t="s">
        <v>192</v>
      </c>
      <c r="N48" s="138">
        <v>2800</v>
      </c>
      <c r="O48" s="138">
        <v>2705</v>
      </c>
      <c r="P48" s="174"/>
    </row>
    <row r="49" spans="1:16" s="95" customFormat="1" ht="14.25">
      <c r="A49" s="152"/>
      <c r="B49" s="147" t="s">
        <v>6</v>
      </c>
      <c r="C49" s="166">
        <f>SUM(C45:C48)</f>
        <v>136</v>
      </c>
      <c r="D49" s="153"/>
      <c r="E49" s="148">
        <f>SUM(E45:E48)</f>
        <v>284.2</v>
      </c>
      <c r="F49" s="148">
        <f>SUM(F45:F48)</f>
        <v>801170.0000000001</v>
      </c>
      <c r="G49" s="148"/>
      <c r="H49" s="148"/>
      <c r="I49" s="148">
        <f>SUM(I45:I48)</f>
        <v>801170</v>
      </c>
      <c r="J49" s="145"/>
      <c r="L49" s="152"/>
      <c r="M49" s="147" t="s">
        <v>6</v>
      </c>
      <c r="N49" s="175"/>
      <c r="O49" s="175"/>
      <c r="P49" s="175"/>
    </row>
    <row r="50" spans="1:10" s="94" customFormat="1" ht="15">
      <c r="A50" s="151"/>
      <c r="B50" s="149" t="s">
        <v>198</v>
      </c>
      <c r="C50" s="208"/>
      <c r="D50" s="150"/>
      <c r="E50" s="150"/>
      <c r="F50" s="150"/>
      <c r="G50" s="150"/>
      <c r="H50" s="150"/>
      <c r="I50" s="150">
        <f>F49-I49</f>
        <v>0</v>
      </c>
      <c r="J50" s="140"/>
    </row>
    <row r="51" spans="1:10" s="94" customFormat="1" ht="15">
      <c r="A51" s="151"/>
      <c r="B51" s="149" t="s">
        <v>195</v>
      </c>
      <c r="C51" s="208"/>
      <c r="D51" s="150"/>
      <c r="E51" s="150"/>
      <c r="F51" s="150"/>
      <c r="G51" s="150"/>
      <c r="H51" s="150"/>
      <c r="I51" s="150">
        <f>F49/E49</f>
        <v>2819.035890218157</v>
      </c>
      <c r="J51" s="140"/>
    </row>
    <row r="53" spans="1:10" s="94" customFormat="1" ht="36.75" customHeight="1">
      <c r="A53" s="129"/>
      <c r="B53" s="227" t="s">
        <v>200</v>
      </c>
      <c r="C53" s="227"/>
      <c r="D53" s="227"/>
      <c r="E53" s="227"/>
      <c r="F53" s="227"/>
      <c r="G53" s="227"/>
      <c r="H53" s="227"/>
      <c r="I53" s="227"/>
      <c r="J53" s="132"/>
    </row>
    <row r="54" spans="1:10" s="94" customFormat="1" ht="42.75">
      <c r="A54" s="98" t="s">
        <v>0</v>
      </c>
      <c r="B54" s="98" t="s">
        <v>2</v>
      </c>
      <c r="C54" s="195" t="s">
        <v>11</v>
      </c>
      <c r="D54" s="154" t="s">
        <v>197</v>
      </c>
      <c r="E54" s="83" t="s">
        <v>16</v>
      </c>
      <c r="F54" s="98" t="s">
        <v>17</v>
      </c>
      <c r="G54" s="83" t="s">
        <v>12</v>
      </c>
      <c r="H54" s="83" t="s">
        <v>193</v>
      </c>
      <c r="I54" s="83" t="s">
        <v>190</v>
      </c>
      <c r="J54" s="132"/>
    </row>
    <row r="55" spans="1:10" s="94" customFormat="1" ht="15">
      <c r="A55" s="134">
        <v>1</v>
      </c>
      <c r="B55" s="135" t="s">
        <v>191</v>
      </c>
      <c r="C55" s="139">
        <v>52</v>
      </c>
      <c r="D55" s="143">
        <v>3</v>
      </c>
      <c r="E55" s="137">
        <f>C55*D55</f>
        <v>156</v>
      </c>
      <c r="F55" s="137">
        <f>801170/E59*E55</f>
        <v>425110.61224489793</v>
      </c>
      <c r="G55" s="137">
        <f>F55/C55</f>
        <v>8175.204081632653</v>
      </c>
      <c r="H55" s="138">
        <v>8135</v>
      </c>
      <c r="I55" s="137">
        <f>C55*H55</f>
        <v>423020</v>
      </c>
      <c r="J55" s="132"/>
    </row>
    <row r="56" spans="1:13" s="94" customFormat="1" ht="15">
      <c r="A56" s="134">
        <v>2</v>
      </c>
      <c r="B56" s="139" t="s">
        <v>201</v>
      </c>
      <c r="C56" s="139">
        <v>40</v>
      </c>
      <c r="D56" s="143">
        <v>2</v>
      </c>
      <c r="E56" s="137">
        <f>C56*D56</f>
        <v>80</v>
      </c>
      <c r="F56" s="137">
        <f>801170/E59*E56</f>
        <v>218005.44217687074</v>
      </c>
      <c r="G56" s="137">
        <f>F56/C56</f>
        <v>5450.136054421769</v>
      </c>
      <c r="H56" s="138">
        <v>5500</v>
      </c>
      <c r="I56" s="137">
        <f>C56*H56</f>
        <v>220000</v>
      </c>
      <c r="J56" s="132"/>
      <c r="M56" s="190">
        <f>F56+F57</f>
        <v>294307.3469387755</v>
      </c>
    </row>
    <row r="57" spans="1:10" s="94" customFormat="1" ht="15">
      <c r="A57" s="134">
        <v>3</v>
      </c>
      <c r="B57" s="135" t="s">
        <v>194</v>
      </c>
      <c r="C57" s="139">
        <v>14</v>
      </c>
      <c r="D57" s="143">
        <v>2</v>
      </c>
      <c r="E57" s="137">
        <f>C57*D57</f>
        <v>28</v>
      </c>
      <c r="F57" s="137">
        <f>801170/E59*E57</f>
        <v>76301.90476190476</v>
      </c>
      <c r="G57" s="137">
        <f>F57/C57</f>
        <v>5450.136054421769</v>
      </c>
      <c r="H57" s="138">
        <v>5500</v>
      </c>
      <c r="I57" s="137">
        <f>C57*H57</f>
        <v>77000</v>
      </c>
      <c r="J57" s="132">
        <f>H57/H58</f>
        <v>2.033271719038817</v>
      </c>
    </row>
    <row r="58" spans="1:10" s="94" customFormat="1" ht="15">
      <c r="A58" s="134">
        <v>4</v>
      </c>
      <c r="B58" s="135" t="s">
        <v>192</v>
      </c>
      <c r="C58" s="139">
        <v>30</v>
      </c>
      <c r="D58" s="136">
        <v>1</v>
      </c>
      <c r="E58" s="137">
        <f>C58*D58</f>
        <v>30</v>
      </c>
      <c r="F58" s="137">
        <f>801170/E59*E58</f>
        <v>81752.04081632652</v>
      </c>
      <c r="G58" s="137">
        <f>F58/C58</f>
        <v>2725.0680272108843</v>
      </c>
      <c r="H58" s="138">
        <v>2705</v>
      </c>
      <c r="I58" s="137">
        <f>C58*H58</f>
        <v>81150</v>
      </c>
      <c r="J58" s="132"/>
    </row>
    <row r="59" spans="1:10" s="95" customFormat="1" ht="14.25">
      <c r="A59" s="152"/>
      <c r="B59" s="147" t="s">
        <v>6</v>
      </c>
      <c r="C59" s="166">
        <f>SUM(C55:C58)</f>
        <v>136</v>
      </c>
      <c r="D59" s="153"/>
      <c r="E59" s="148">
        <f>SUM(E55:E58)</f>
        <v>294</v>
      </c>
      <c r="F59" s="148">
        <f>SUM(F55:F58)</f>
        <v>801169.9999999999</v>
      </c>
      <c r="G59" s="148"/>
      <c r="H59" s="148"/>
      <c r="I59" s="148">
        <f>SUM(I55:I58)</f>
        <v>801170</v>
      </c>
      <c r="J59" s="145"/>
    </row>
    <row r="60" spans="1:10" s="94" customFormat="1" ht="15">
      <c r="A60" s="151"/>
      <c r="B60" s="149" t="s">
        <v>198</v>
      </c>
      <c r="C60" s="208"/>
      <c r="D60" s="150"/>
      <c r="E60" s="150"/>
      <c r="F60" s="150"/>
      <c r="G60" s="150"/>
      <c r="H60" s="150"/>
      <c r="I60" s="150">
        <f>F59-I59</f>
        <v>0</v>
      </c>
      <c r="J60" s="140"/>
    </row>
    <row r="61" spans="1:10" s="94" customFormat="1" ht="15">
      <c r="A61" s="151"/>
      <c r="B61" s="149" t="s">
        <v>195</v>
      </c>
      <c r="C61" s="208"/>
      <c r="D61" s="150"/>
      <c r="E61" s="150"/>
      <c r="F61" s="150"/>
      <c r="G61" s="150"/>
      <c r="H61" s="150"/>
      <c r="I61" s="150">
        <f>F59/E59</f>
        <v>2725.068027210884</v>
      </c>
      <c r="J61" s="140"/>
    </row>
    <row r="62" spans="1:10" s="94" customFormat="1" ht="36.75" customHeight="1">
      <c r="A62" s="129"/>
      <c r="B62" s="228" t="s">
        <v>205</v>
      </c>
      <c r="C62" s="228"/>
      <c r="D62" s="228"/>
      <c r="E62" s="228"/>
      <c r="F62" s="228"/>
      <c r="G62" s="228"/>
      <c r="H62" s="228"/>
      <c r="I62" s="228"/>
      <c r="J62" s="132"/>
    </row>
    <row r="63" spans="1:10" s="94" customFormat="1" ht="42.75">
      <c r="A63" s="155" t="s">
        <v>0</v>
      </c>
      <c r="B63" s="155" t="s">
        <v>2</v>
      </c>
      <c r="C63" s="195" t="s">
        <v>11</v>
      </c>
      <c r="D63" s="154" t="s">
        <v>197</v>
      </c>
      <c r="E63" s="156" t="s">
        <v>16</v>
      </c>
      <c r="F63" s="155" t="s">
        <v>17</v>
      </c>
      <c r="G63" s="156" t="s">
        <v>12</v>
      </c>
      <c r="H63" s="156" t="s">
        <v>193</v>
      </c>
      <c r="I63" s="156" t="s">
        <v>190</v>
      </c>
      <c r="J63" s="132"/>
    </row>
    <row r="64" spans="1:10" s="94" customFormat="1" ht="15">
      <c r="A64" s="134">
        <v>1</v>
      </c>
      <c r="B64" s="135" t="s">
        <v>191</v>
      </c>
      <c r="C64" s="139">
        <v>52</v>
      </c>
      <c r="D64" s="143">
        <v>2.7</v>
      </c>
      <c r="E64" s="137">
        <f>C64*D64</f>
        <v>140.4</v>
      </c>
      <c r="F64" s="137">
        <f>801170/E68*E64</f>
        <v>368317.8388998036</v>
      </c>
      <c r="G64" s="137">
        <f>F64/C64</f>
        <v>7083.035363457761</v>
      </c>
      <c r="H64" s="138">
        <v>7100</v>
      </c>
      <c r="I64" s="137">
        <f>C64*H64</f>
        <v>369200</v>
      </c>
      <c r="J64" s="132"/>
    </row>
    <row r="65" spans="1:10" s="94" customFormat="1" ht="15">
      <c r="A65" s="134">
        <v>2</v>
      </c>
      <c r="B65" s="139" t="s">
        <v>201</v>
      </c>
      <c r="C65" s="139">
        <v>40</v>
      </c>
      <c r="D65" s="143">
        <v>2.5</v>
      </c>
      <c r="E65" s="137">
        <f>C65*D65</f>
        <v>100</v>
      </c>
      <c r="F65" s="137">
        <f>801170/E68*E65</f>
        <v>262334.6430910282</v>
      </c>
      <c r="G65" s="137">
        <f>F65/C65</f>
        <v>6558.366077275705</v>
      </c>
      <c r="H65" s="138">
        <v>6550</v>
      </c>
      <c r="I65" s="137">
        <f>C65*H65</f>
        <v>262000</v>
      </c>
      <c r="J65" s="132"/>
    </row>
    <row r="66" spans="1:10" s="94" customFormat="1" ht="15">
      <c r="A66" s="134">
        <v>3</v>
      </c>
      <c r="B66" s="135" t="s">
        <v>194</v>
      </c>
      <c r="C66" s="139">
        <v>14</v>
      </c>
      <c r="D66" s="143">
        <v>2.5</v>
      </c>
      <c r="E66" s="137">
        <f>C66*D66</f>
        <v>35</v>
      </c>
      <c r="F66" s="137">
        <f>801170/E68*E66</f>
        <v>91817.12508185986</v>
      </c>
      <c r="G66" s="137">
        <f>F66/C66</f>
        <v>6558.366077275705</v>
      </c>
      <c r="H66" s="138">
        <v>6550</v>
      </c>
      <c r="I66" s="137">
        <f>C66*H66</f>
        <v>91700</v>
      </c>
      <c r="J66" s="132">
        <f>H66/H67</f>
        <v>2.5105404369490225</v>
      </c>
    </row>
    <row r="67" spans="1:10" s="94" customFormat="1" ht="15">
      <c r="A67" s="134">
        <v>4</v>
      </c>
      <c r="B67" s="135" t="s">
        <v>192</v>
      </c>
      <c r="C67" s="139">
        <v>30</v>
      </c>
      <c r="D67" s="136">
        <v>1</v>
      </c>
      <c r="E67" s="137">
        <f>C67*D67</f>
        <v>30</v>
      </c>
      <c r="F67" s="137">
        <f>801170/E68*E67</f>
        <v>78700.39292730845</v>
      </c>
      <c r="G67" s="137">
        <f>F67/C67</f>
        <v>2623.3464309102815</v>
      </c>
      <c r="H67" s="138">
        <v>2609</v>
      </c>
      <c r="I67" s="137">
        <f>C67*H67</f>
        <v>78270</v>
      </c>
      <c r="J67" s="132"/>
    </row>
    <row r="68" spans="1:10" s="95" customFormat="1" ht="14.25">
      <c r="A68" s="152"/>
      <c r="B68" s="147" t="s">
        <v>6</v>
      </c>
      <c r="C68" s="166">
        <f>SUM(C64:C67)</f>
        <v>136</v>
      </c>
      <c r="D68" s="153"/>
      <c r="E68" s="148">
        <f>SUM(E64:E67)</f>
        <v>305.4</v>
      </c>
      <c r="F68" s="148">
        <f>SUM(F64:F67)</f>
        <v>801170.0000000001</v>
      </c>
      <c r="G68" s="148"/>
      <c r="H68" s="148"/>
      <c r="I68" s="148">
        <f>SUM(I64:I67)</f>
        <v>801170</v>
      </c>
      <c r="J68" s="145"/>
    </row>
    <row r="69" spans="1:10" s="94" customFormat="1" ht="15">
      <c r="A69" s="151"/>
      <c r="B69" s="149" t="s">
        <v>198</v>
      </c>
      <c r="C69" s="208"/>
      <c r="D69" s="150"/>
      <c r="E69" s="150"/>
      <c r="F69" s="150"/>
      <c r="G69" s="150"/>
      <c r="H69" s="150"/>
      <c r="I69" s="150">
        <f>F68-I68</f>
        <v>0</v>
      </c>
      <c r="J69" s="140"/>
    </row>
    <row r="70" spans="1:10" s="94" customFormat="1" ht="15">
      <c r="A70" s="151"/>
      <c r="B70" s="149" t="s">
        <v>195</v>
      </c>
      <c r="C70" s="208"/>
      <c r="D70" s="150"/>
      <c r="E70" s="150"/>
      <c r="F70" s="150"/>
      <c r="G70" s="150"/>
      <c r="H70" s="150"/>
      <c r="I70" s="150">
        <f>F68/E68</f>
        <v>2623.3464309102824</v>
      </c>
      <c r="J70" s="140"/>
    </row>
    <row r="71" spans="1:10" s="94" customFormat="1" ht="36.75" customHeight="1">
      <c r="A71" s="129"/>
      <c r="B71" s="228" t="s">
        <v>205</v>
      </c>
      <c r="C71" s="228"/>
      <c r="D71" s="228"/>
      <c r="E71" s="228"/>
      <c r="F71" s="228"/>
      <c r="G71" s="228"/>
      <c r="H71" s="228"/>
      <c r="I71" s="228"/>
      <c r="J71" s="132"/>
    </row>
    <row r="72" spans="1:10" s="94" customFormat="1" ht="42.75">
      <c r="A72" s="212" t="s">
        <v>0</v>
      </c>
      <c r="B72" s="212" t="s">
        <v>2</v>
      </c>
      <c r="C72" s="213" t="s">
        <v>11</v>
      </c>
      <c r="D72" s="154" t="s">
        <v>197</v>
      </c>
      <c r="E72" s="213" t="s">
        <v>16</v>
      </c>
      <c r="F72" s="212" t="s">
        <v>17</v>
      </c>
      <c r="G72" s="213" t="s">
        <v>12</v>
      </c>
      <c r="H72" s="213" t="s">
        <v>193</v>
      </c>
      <c r="I72" s="213" t="s">
        <v>190</v>
      </c>
      <c r="J72" s="132"/>
    </row>
    <row r="73" spans="1:10" s="94" customFormat="1" ht="15">
      <c r="A73" s="134">
        <v>1</v>
      </c>
      <c r="B73" s="135" t="s">
        <v>191</v>
      </c>
      <c r="C73" s="139">
        <v>52</v>
      </c>
      <c r="D73" s="143">
        <v>3</v>
      </c>
      <c r="E73" s="137">
        <f>C73*D73</f>
        <v>156</v>
      </c>
      <c r="F73" s="137">
        <f>801170/E77*E73</f>
        <v>429198.2142857143</v>
      </c>
      <c r="G73" s="137">
        <f>F73/C73</f>
        <v>8253.811813186814</v>
      </c>
      <c r="H73" s="138">
        <v>8200</v>
      </c>
      <c r="I73" s="137">
        <f>C73*H73</f>
        <v>426400</v>
      </c>
      <c r="J73" s="132"/>
    </row>
    <row r="74" spans="1:10" s="94" customFormat="1" ht="15">
      <c r="A74" s="134">
        <v>2</v>
      </c>
      <c r="B74" s="139" t="s">
        <v>201</v>
      </c>
      <c r="C74" s="139">
        <v>40</v>
      </c>
      <c r="D74" s="143">
        <v>2</v>
      </c>
      <c r="E74" s="137">
        <f>C74*D74</f>
        <v>80</v>
      </c>
      <c r="F74" s="137">
        <f>801170/E77*E74</f>
        <v>220101.64835164836</v>
      </c>
      <c r="G74" s="137">
        <f>F74/C74</f>
        <v>5502.541208791209</v>
      </c>
      <c r="H74" s="138">
        <v>5500</v>
      </c>
      <c r="I74" s="137">
        <f>C74*H74</f>
        <v>220000</v>
      </c>
      <c r="J74" s="132"/>
    </row>
    <row r="75" spans="1:10" s="94" customFormat="1" ht="15">
      <c r="A75" s="134">
        <v>3</v>
      </c>
      <c r="B75" s="135" t="s">
        <v>194</v>
      </c>
      <c r="C75" s="139">
        <v>14</v>
      </c>
      <c r="D75" s="143">
        <v>1.8</v>
      </c>
      <c r="E75" s="137">
        <f>C75*D75</f>
        <v>25.2</v>
      </c>
      <c r="F75" s="137">
        <f>801170/E77*E75</f>
        <v>69332.01923076923</v>
      </c>
      <c r="G75" s="137">
        <f>F75/C75</f>
        <v>4952.287087912088</v>
      </c>
      <c r="H75" s="138">
        <v>5055</v>
      </c>
      <c r="I75" s="137">
        <f>C75*H75</f>
        <v>70770</v>
      </c>
      <c r="J75" s="132">
        <f>H75/H76</f>
        <v>1.8053571428571429</v>
      </c>
    </row>
    <row r="76" spans="1:10" s="94" customFormat="1" ht="15">
      <c r="A76" s="134">
        <v>4</v>
      </c>
      <c r="B76" s="135" t="s">
        <v>192</v>
      </c>
      <c r="C76" s="139">
        <v>30</v>
      </c>
      <c r="D76" s="136">
        <v>1</v>
      </c>
      <c r="E76" s="137">
        <f>C76*D76</f>
        <v>30</v>
      </c>
      <c r="F76" s="137">
        <f>801170/E77*E76</f>
        <v>82538.11813186813</v>
      </c>
      <c r="G76" s="137">
        <f>F76/C76</f>
        <v>2751.2706043956046</v>
      </c>
      <c r="H76" s="138">
        <v>2800</v>
      </c>
      <c r="I76" s="137">
        <f>C76*H76</f>
        <v>84000</v>
      </c>
      <c r="J76" s="132"/>
    </row>
    <row r="77" spans="1:10" s="95" customFormat="1" ht="14.25">
      <c r="A77" s="152"/>
      <c r="B77" s="147" t="s">
        <v>6</v>
      </c>
      <c r="C77" s="166">
        <f>SUM(C73:C76)</f>
        <v>136</v>
      </c>
      <c r="D77" s="153"/>
      <c r="E77" s="148">
        <f>SUM(E73:E76)</f>
        <v>291.2</v>
      </c>
      <c r="F77" s="148">
        <f>SUM(F73:F76)</f>
        <v>801170</v>
      </c>
      <c r="G77" s="148"/>
      <c r="H77" s="148"/>
      <c r="I77" s="148">
        <f>SUM(I73:I76)</f>
        <v>801170</v>
      </c>
      <c r="J77" s="145"/>
    </row>
    <row r="78" spans="1:10" s="94" customFormat="1" ht="15">
      <c r="A78" s="151"/>
      <c r="B78" s="149" t="s">
        <v>198</v>
      </c>
      <c r="C78" s="208"/>
      <c r="D78" s="150"/>
      <c r="E78" s="150"/>
      <c r="F78" s="150"/>
      <c r="G78" s="150"/>
      <c r="H78" s="150"/>
      <c r="I78" s="150">
        <f>F77-I77</f>
        <v>0</v>
      </c>
      <c r="J78" s="140"/>
    </row>
    <row r="79" spans="1:10" s="94" customFormat="1" ht="15">
      <c r="A79" s="151"/>
      <c r="B79" s="149" t="s">
        <v>195</v>
      </c>
      <c r="C79" s="208"/>
      <c r="D79" s="150"/>
      <c r="E79" s="150"/>
      <c r="F79" s="150"/>
      <c r="G79" s="150"/>
      <c r="H79" s="150"/>
      <c r="I79" s="150">
        <f>F77/E77</f>
        <v>2751.2706043956046</v>
      </c>
      <c r="J79" s="140"/>
    </row>
    <row r="80" spans="2:9" ht="15">
      <c r="B80" s="217" t="s">
        <v>147</v>
      </c>
      <c r="C80" s="217"/>
      <c r="D80" s="217"/>
      <c r="E80" s="217"/>
      <c r="F80" s="217"/>
      <c r="G80" s="217"/>
      <c r="H80" s="217"/>
      <c r="I80" s="217"/>
    </row>
    <row r="81" spans="2:9" ht="15">
      <c r="B81" s="217"/>
      <c r="C81" s="217"/>
      <c r="D81" s="217"/>
      <c r="E81" s="217"/>
      <c r="F81" s="217"/>
      <c r="G81" s="217"/>
      <c r="H81" s="217"/>
      <c r="I81" s="217"/>
    </row>
    <row r="82" spans="1:10" ht="15">
      <c r="A82" s="21"/>
      <c r="B82" s="22"/>
      <c r="C82" s="23"/>
      <c r="D82" s="22"/>
      <c r="E82" s="22"/>
      <c r="F82" s="22"/>
      <c r="G82" s="22"/>
      <c r="H82" s="22"/>
      <c r="I82" s="22"/>
      <c r="J82" s="23"/>
    </row>
    <row r="83" spans="1:11" ht="42.75">
      <c r="A83" s="155" t="s">
        <v>0</v>
      </c>
      <c r="B83" s="155" t="s">
        <v>2</v>
      </c>
      <c r="C83" s="195" t="s">
        <v>11</v>
      </c>
      <c r="D83" s="154" t="s">
        <v>211</v>
      </c>
      <c r="E83" s="156" t="s">
        <v>16</v>
      </c>
      <c r="F83" s="155" t="s">
        <v>17</v>
      </c>
      <c r="G83" s="156" t="s">
        <v>12</v>
      </c>
      <c r="H83" s="156" t="s">
        <v>193</v>
      </c>
      <c r="I83" s="156" t="s">
        <v>190</v>
      </c>
      <c r="J83" s="156" t="s">
        <v>40</v>
      </c>
      <c r="K83" s="14">
        <f>112800-I85-I86-I87</f>
        <v>52370</v>
      </c>
    </row>
    <row r="84" spans="1:10" ht="15">
      <c r="A84" s="134">
        <v>1</v>
      </c>
      <c r="B84" s="135" t="s">
        <v>1</v>
      </c>
      <c r="C84" s="139">
        <v>45</v>
      </c>
      <c r="D84" s="137">
        <v>3</v>
      </c>
      <c r="E84" s="137">
        <f>C84*D84</f>
        <v>135</v>
      </c>
      <c r="F84" s="137">
        <f>K83/E92*E84</f>
        <v>37407.142857142855</v>
      </c>
      <c r="G84" s="137">
        <f>F84/C84</f>
        <v>831.2698412698412</v>
      </c>
      <c r="H84" s="160">
        <v>830</v>
      </c>
      <c r="I84" s="161">
        <f>C84*H84</f>
        <v>37350</v>
      </c>
      <c r="J84" s="139"/>
    </row>
    <row r="85" spans="1:13" ht="45">
      <c r="A85" s="134" t="s">
        <v>207</v>
      </c>
      <c r="B85" s="139" t="s">
        <v>214</v>
      </c>
      <c r="C85" s="139">
        <v>9</v>
      </c>
      <c r="D85" s="162" t="s">
        <v>212</v>
      </c>
      <c r="E85" s="137"/>
      <c r="F85" s="218">
        <v>60430</v>
      </c>
      <c r="G85" s="137"/>
      <c r="H85" s="161"/>
      <c r="I85" s="218">
        <v>60430</v>
      </c>
      <c r="J85" s="139" t="s">
        <v>213</v>
      </c>
      <c r="K85" s="221" t="s">
        <v>154</v>
      </c>
      <c r="L85" s="14">
        <f>H85-890</f>
        <v>-890</v>
      </c>
      <c r="M85">
        <f>L85*2</f>
        <v>-1780</v>
      </c>
    </row>
    <row r="86" spans="1:12" ht="60">
      <c r="A86" s="134" t="s">
        <v>208</v>
      </c>
      <c r="B86" s="135" t="s">
        <v>215</v>
      </c>
      <c r="C86" s="139">
        <v>10</v>
      </c>
      <c r="D86" s="162" t="s">
        <v>212</v>
      </c>
      <c r="E86" s="137"/>
      <c r="F86" s="219"/>
      <c r="G86" s="137"/>
      <c r="H86" s="163"/>
      <c r="I86" s="219"/>
      <c r="J86" s="139" t="s">
        <v>210</v>
      </c>
      <c r="K86" s="221"/>
      <c r="L86">
        <f>3100-230</f>
        <v>2870</v>
      </c>
    </row>
    <row r="87" spans="1:10" ht="15" hidden="1">
      <c r="A87" s="134">
        <v>4</v>
      </c>
      <c r="B87" s="135" t="s">
        <v>122</v>
      </c>
      <c r="C87" s="139"/>
      <c r="D87" s="137"/>
      <c r="E87" s="137"/>
      <c r="F87" s="220"/>
      <c r="G87" s="137"/>
      <c r="H87" s="163"/>
      <c r="I87" s="220"/>
      <c r="J87" s="139"/>
    </row>
    <row r="88" spans="1:10" ht="26.25" customHeight="1">
      <c r="A88" s="134">
        <v>3</v>
      </c>
      <c r="B88" s="139" t="s">
        <v>216</v>
      </c>
      <c r="C88" s="139">
        <v>20</v>
      </c>
      <c r="D88" s="137">
        <v>1.3</v>
      </c>
      <c r="E88" s="137">
        <f>C88*D88</f>
        <v>26</v>
      </c>
      <c r="F88" s="137">
        <f>K83/E92*E88</f>
        <v>7204.338624338624</v>
      </c>
      <c r="G88" s="137">
        <f>F88/C88</f>
        <v>360.2169312169312</v>
      </c>
      <c r="H88" s="160">
        <v>360</v>
      </c>
      <c r="I88" s="161">
        <f>C88*H88</f>
        <v>7200</v>
      </c>
      <c r="J88" s="139"/>
    </row>
    <row r="89" spans="1:12" ht="31.5" customHeight="1">
      <c r="A89" s="134">
        <v>4</v>
      </c>
      <c r="B89" s="139" t="s">
        <v>123</v>
      </c>
      <c r="C89" s="139">
        <v>28</v>
      </c>
      <c r="D89" s="137">
        <v>1</v>
      </c>
      <c r="E89" s="137">
        <f>C89*D89</f>
        <v>28</v>
      </c>
      <c r="F89" s="137">
        <f>K83/E92*E89</f>
        <v>7758.518518518518</v>
      </c>
      <c r="G89" s="137">
        <f>F89/C89</f>
        <v>277.0899470899471</v>
      </c>
      <c r="H89" s="160">
        <v>280</v>
      </c>
      <c r="I89" s="161">
        <f>C89*H89</f>
        <v>7840</v>
      </c>
      <c r="J89" s="164" t="s">
        <v>209</v>
      </c>
      <c r="L89">
        <f>C89+C90+C91</f>
        <v>52</v>
      </c>
    </row>
    <row r="90" spans="1:10" ht="33" customHeight="1">
      <c r="A90" s="134">
        <v>6</v>
      </c>
      <c r="B90" s="139" t="s">
        <v>150</v>
      </c>
      <c r="C90" s="139">
        <v>17</v>
      </c>
      <c r="D90" s="137"/>
      <c r="E90" s="137"/>
      <c r="F90" s="137"/>
      <c r="G90" s="137"/>
      <c r="H90" s="161"/>
      <c r="I90" s="161"/>
      <c r="J90" s="139" t="s">
        <v>149</v>
      </c>
    </row>
    <row r="91" spans="1:10" ht="15">
      <c r="A91" s="134">
        <v>7</v>
      </c>
      <c r="B91" s="135" t="s">
        <v>152</v>
      </c>
      <c r="C91" s="139">
        <v>7</v>
      </c>
      <c r="D91" s="137"/>
      <c r="E91" s="137"/>
      <c r="F91" s="137"/>
      <c r="G91" s="137"/>
      <c r="H91" s="137"/>
      <c r="I91" s="137"/>
      <c r="J91" s="139"/>
    </row>
    <row r="92" spans="1:12" s="26" customFormat="1" ht="15">
      <c r="A92" s="152"/>
      <c r="B92" s="147" t="s">
        <v>6</v>
      </c>
      <c r="C92" s="166">
        <f>SUM(C84:C91)</f>
        <v>136</v>
      </c>
      <c r="D92" s="148"/>
      <c r="E92" s="148">
        <f>SUM(E84:E89)</f>
        <v>189</v>
      </c>
      <c r="F92" s="148">
        <f>SUM(F84:F89)</f>
        <v>112800</v>
      </c>
      <c r="G92" s="148"/>
      <c r="H92" s="148"/>
      <c r="I92" s="165">
        <f>SUM(I84:I89)</f>
        <v>112820</v>
      </c>
      <c r="J92" s="166"/>
      <c r="K92" s="49">
        <f>I92-99000</f>
        <v>13820</v>
      </c>
      <c r="L92" s="14"/>
    </row>
    <row r="93" spans="1:11" ht="15">
      <c r="A93" s="167"/>
      <c r="B93" s="135" t="s">
        <v>119</v>
      </c>
      <c r="C93" s="144"/>
      <c r="D93" s="168"/>
      <c r="E93" s="168"/>
      <c r="F93" s="168"/>
      <c r="G93" s="168"/>
      <c r="H93" s="168">
        <f>F92-I85</f>
        <v>52370</v>
      </c>
      <c r="I93" s="137">
        <f>F92-I92</f>
        <v>-20</v>
      </c>
      <c r="J93" s="140"/>
      <c r="K93">
        <f>I93/28</f>
        <v>-0.7142857142857143</v>
      </c>
    </row>
    <row r="94" spans="2:9" ht="15" hidden="1">
      <c r="B94" s="217" t="s">
        <v>148</v>
      </c>
      <c r="C94" s="217"/>
      <c r="D94" s="217"/>
      <c r="E94" s="217"/>
      <c r="F94" s="217"/>
      <c r="G94" s="217"/>
      <c r="H94" s="217"/>
      <c r="I94" s="217"/>
    </row>
    <row r="95" spans="2:9" ht="15" hidden="1">
      <c r="B95" s="217"/>
      <c r="C95" s="217"/>
      <c r="D95" s="217"/>
      <c r="E95" s="217"/>
      <c r="F95" s="217"/>
      <c r="G95" s="217"/>
      <c r="H95" s="217"/>
      <c r="I95" s="217"/>
    </row>
    <row r="96" spans="1:11" ht="30" hidden="1">
      <c r="A96" s="35" t="s">
        <v>0</v>
      </c>
      <c r="B96" s="35" t="s">
        <v>2</v>
      </c>
      <c r="C96" s="36" t="s">
        <v>11</v>
      </c>
      <c r="D96" s="35" t="s">
        <v>7</v>
      </c>
      <c r="E96" s="36" t="s">
        <v>16</v>
      </c>
      <c r="F96" s="35" t="s">
        <v>17</v>
      </c>
      <c r="G96" s="36" t="s">
        <v>12</v>
      </c>
      <c r="H96" s="35" t="s">
        <v>151</v>
      </c>
      <c r="I96" s="35" t="s">
        <v>19</v>
      </c>
      <c r="J96" s="36" t="s">
        <v>40</v>
      </c>
      <c r="K96" s="14">
        <f>112800-I98-I99-I100-I104</f>
        <v>40020</v>
      </c>
    </row>
    <row r="97" spans="1:10" ht="15" hidden="1">
      <c r="A97" s="37">
        <v>1</v>
      </c>
      <c r="B97" s="38" t="s">
        <v>1</v>
      </c>
      <c r="C97" s="40">
        <v>45</v>
      </c>
      <c r="D97" s="39">
        <v>3</v>
      </c>
      <c r="E97" s="39">
        <f>C97*D97</f>
        <v>135</v>
      </c>
      <c r="F97" s="39">
        <f>K96/E105*E97</f>
        <v>27706.153846153844</v>
      </c>
      <c r="G97" s="39">
        <f>F97/C97</f>
        <v>615.6923076923076</v>
      </c>
      <c r="H97" s="47">
        <v>650</v>
      </c>
      <c r="I97" s="47">
        <f>C97*H97</f>
        <v>29250</v>
      </c>
      <c r="J97" s="40"/>
    </row>
    <row r="98" spans="1:13" ht="30" hidden="1">
      <c r="A98" s="37">
        <v>2</v>
      </c>
      <c r="B98" s="40" t="s">
        <v>120</v>
      </c>
      <c r="C98" s="40">
        <v>9</v>
      </c>
      <c r="D98" s="39"/>
      <c r="E98" s="39"/>
      <c r="F98" s="222">
        <v>60430</v>
      </c>
      <c r="G98" s="39"/>
      <c r="H98" s="47"/>
      <c r="I98" s="222">
        <v>60430</v>
      </c>
      <c r="J98" s="40" t="s">
        <v>125</v>
      </c>
      <c r="L98" s="14">
        <f>H98-890</f>
        <v>-890</v>
      </c>
      <c r="M98">
        <f>L98*2</f>
        <v>-1780</v>
      </c>
    </row>
    <row r="99" spans="1:12" ht="60" hidden="1">
      <c r="A99" s="37">
        <v>3</v>
      </c>
      <c r="B99" s="38" t="s">
        <v>121</v>
      </c>
      <c r="C99" s="40">
        <v>10</v>
      </c>
      <c r="D99" s="39"/>
      <c r="E99" s="39"/>
      <c r="F99" s="223"/>
      <c r="G99" s="39"/>
      <c r="H99" s="48"/>
      <c r="I99" s="223"/>
      <c r="J99" s="40" t="s">
        <v>146</v>
      </c>
      <c r="L99">
        <f>3100-230</f>
        <v>2870</v>
      </c>
    </row>
    <row r="100" spans="1:10" ht="15" hidden="1">
      <c r="A100" s="37">
        <v>4</v>
      </c>
      <c r="B100" s="38" t="s">
        <v>122</v>
      </c>
      <c r="C100" s="40"/>
      <c r="D100" s="39"/>
      <c r="E100" s="39"/>
      <c r="F100" s="224"/>
      <c r="G100" s="39"/>
      <c r="H100" s="48"/>
      <c r="I100" s="224"/>
      <c r="J100" s="40"/>
    </row>
    <row r="101" spans="1:10" ht="26.25" customHeight="1" hidden="1">
      <c r="A101" s="37">
        <v>4</v>
      </c>
      <c r="B101" s="40" t="s">
        <v>124</v>
      </c>
      <c r="C101" s="40">
        <v>20</v>
      </c>
      <c r="D101" s="39">
        <v>1.6</v>
      </c>
      <c r="E101" s="39">
        <f>C101*D101</f>
        <v>32</v>
      </c>
      <c r="F101" s="39">
        <f>K96/E105*E101</f>
        <v>6567.384615384615</v>
      </c>
      <c r="G101" s="39">
        <f>F101/C101</f>
        <v>328.36923076923074</v>
      </c>
      <c r="H101" s="47">
        <v>300</v>
      </c>
      <c r="I101" s="47">
        <f>C101*H101</f>
        <v>6000</v>
      </c>
      <c r="J101" s="40"/>
    </row>
    <row r="102" spans="1:12" ht="26.25" customHeight="1" hidden="1">
      <c r="A102" s="37">
        <v>5</v>
      </c>
      <c r="B102" s="40" t="s">
        <v>123</v>
      </c>
      <c r="C102" s="40">
        <v>28</v>
      </c>
      <c r="D102" s="39">
        <v>1</v>
      </c>
      <c r="E102" s="39">
        <f>C102*D102</f>
        <v>28</v>
      </c>
      <c r="F102" s="39">
        <f>K96/E105*E102</f>
        <v>5746.461538461538</v>
      </c>
      <c r="G102" s="39">
        <f>F102/C102</f>
        <v>205.23076923076923</v>
      </c>
      <c r="H102" s="47">
        <v>175</v>
      </c>
      <c r="I102" s="47">
        <f>C102*H102</f>
        <v>4900</v>
      </c>
      <c r="J102" s="40"/>
      <c r="L102">
        <f>C102+C103+C104</f>
        <v>52</v>
      </c>
    </row>
    <row r="103" spans="1:10" ht="33" customHeight="1" hidden="1">
      <c r="A103" s="37">
        <v>6</v>
      </c>
      <c r="B103" s="40" t="s">
        <v>150</v>
      </c>
      <c r="C103" s="40">
        <v>17</v>
      </c>
      <c r="D103" s="39"/>
      <c r="E103" s="39"/>
      <c r="F103" s="39"/>
      <c r="G103" s="39"/>
      <c r="H103" s="47"/>
      <c r="I103" s="47">
        <v>0</v>
      </c>
      <c r="J103" s="40" t="s">
        <v>149</v>
      </c>
    </row>
    <row r="104" spans="1:10" ht="15" hidden="1">
      <c r="A104" s="37">
        <v>7</v>
      </c>
      <c r="B104" s="38" t="s">
        <v>152</v>
      </c>
      <c r="C104" s="40">
        <v>7</v>
      </c>
      <c r="D104" s="39"/>
      <c r="E104" s="39"/>
      <c r="F104" s="39">
        <f>I104</f>
        <v>12350</v>
      </c>
      <c r="G104" s="39"/>
      <c r="H104" s="39"/>
      <c r="I104" s="39">
        <f>'B2 SL von cam ket'!L35</f>
        <v>12350</v>
      </c>
      <c r="J104" s="82" t="s">
        <v>153</v>
      </c>
    </row>
    <row r="105" spans="1:12" s="26" customFormat="1" ht="15" hidden="1">
      <c r="A105" s="41"/>
      <c r="B105" s="42" t="s">
        <v>6</v>
      </c>
      <c r="C105" s="44">
        <f>SUM(C97:C104)</f>
        <v>136</v>
      </c>
      <c r="D105" s="43"/>
      <c r="E105" s="43">
        <f>SUM(E97:E102)</f>
        <v>195</v>
      </c>
      <c r="F105" s="45">
        <f>SUM(F97:F104)</f>
        <v>112799.99999999999</v>
      </c>
      <c r="G105" s="43"/>
      <c r="H105" s="43"/>
      <c r="I105" s="45">
        <f>SUM(I97:I104)</f>
        <v>112930</v>
      </c>
      <c r="J105" s="44"/>
      <c r="K105" s="49">
        <f>I105-99000</f>
        <v>13930</v>
      </c>
      <c r="L105" s="14"/>
    </row>
    <row r="106" spans="1:10" ht="15" hidden="1">
      <c r="A106" s="72"/>
      <c r="B106" s="38" t="s">
        <v>119</v>
      </c>
      <c r="C106" s="209"/>
      <c r="D106" s="73"/>
      <c r="E106" s="73"/>
      <c r="F106" s="73"/>
      <c r="G106" s="73"/>
      <c r="H106" s="73"/>
      <c r="I106" s="39">
        <f>F105-I105</f>
        <v>-130.00000000001455</v>
      </c>
      <c r="J106" s="17"/>
    </row>
    <row r="107" spans="1:10" ht="15">
      <c r="A107" s="21"/>
      <c r="B107" s="22"/>
      <c r="C107" s="23"/>
      <c r="D107" s="22"/>
      <c r="E107" s="22"/>
      <c r="F107" s="22"/>
      <c r="G107" s="22"/>
      <c r="H107" s="22"/>
      <c r="I107" s="22"/>
      <c r="J107" s="23"/>
    </row>
    <row r="108" spans="2:9" ht="15">
      <c r="B108" s="217" t="s">
        <v>217</v>
      </c>
      <c r="C108" s="217"/>
      <c r="D108" s="217"/>
      <c r="E108" s="217"/>
      <c r="F108" s="217"/>
      <c r="G108" s="217"/>
      <c r="H108" s="217"/>
      <c r="I108" s="217"/>
    </row>
    <row r="109" spans="2:9" ht="15">
      <c r="B109" s="217"/>
      <c r="C109" s="217"/>
      <c r="D109" s="217"/>
      <c r="E109" s="217"/>
      <c r="F109" s="217"/>
      <c r="G109" s="217"/>
      <c r="H109" s="217"/>
      <c r="I109" s="217"/>
    </row>
    <row r="110" spans="1:10" ht="15">
      <c r="A110" s="21"/>
      <c r="B110" s="22"/>
      <c r="C110" s="23"/>
      <c r="D110" s="22"/>
      <c r="E110" s="22"/>
      <c r="F110" s="22"/>
      <c r="G110" s="22"/>
      <c r="H110" s="22"/>
      <c r="I110" s="22"/>
      <c r="J110" s="23"/>
    </row>
    <row r="111" spans="1:11" ht="42.75">
      <c r="A111" s="157" t="s">
        <v>0</v>
      </c>
      <c r="B111" s="157" t="s">
        <v>2</v>
      </c>
      <c r="C111" s="195" t="s">
        <v>11</v>
      </c>
      <c r="D111" s="154" t="s">
        <v>211</v>
      </c>
      <c r="E111" s="158" t="s">
        <v>16</v>
      </c>
      <c r="F111" s="157" t="s">
        <v>17</v>
      </c>
      <c r="G111" s="158" t="s">
        <v>12</v>
      </c>
      <c r="H111" s="158" t="s">
        <v>193</v>
      </c>
      <c r="I111" s="158" t="s">
        <v>190</v>
      </c>
      <c r="J111" s="158" t="s">
        <v>40</v>
      </c>
      <c r="K111" s="14">
        <f>112800-I113-I114</f>
        <v>45570</v>
      </c>
    </row>
    <row r="112" spans="1:10" ht="15">
      <c r="A112" s="134">
        <v>1</v>
      </c>
      <c r="B112" s="135" t="s">
        <v>1</v>
      </c>
      <c r="C112" s="139">
        <v>45</v>
      </c>
      <c r="D112" s="137">
        <v>3.5</v>
      </c>
      <c r="E112" s="137">
        <f>C112*D112</f>
        <v>157.5</v>
      </c>
      <c r="F112" s="137">
        <f>K111/E120*E112</f>
        <v>33935.10638297872</v>
      </c>
      <c r="G112" s="137">
        <f>F112/C112</f>
        <v>754.113475177305</v>
      </c>
      <c r="H112" s="160">
        <v>750</v>
      </c>
      <c r="I112" s="161">
        <f>C112*H112</f>
        <v>33750</v>
      </c>
      <c r="J112" s="139"/>
    </row>
    <row r="113" spans="1:13" ht="45">
      <c r="A113" s="134" t="s">
        <v>207</v>
      </c>
      <c r="B113" s="139" t="s">
        <v>214</v>
      </c>
      <c r="C113" s="139">
        <v>11</v>
      </c>
      <c r="D113" s="162" t="s">
        <v>212</v>
      </c>
      <c r="E113" s="137"/>
      <c r="F113" s="218">
        <v>67230</v>
      </c>
      <c r="G113" s="137"/>
      <c r="H113" s="161"/>
      <c r="I113" s="218">
        <v>67230</v>
      </c>
      <c r="J113" s="139" t="s">
        <v>213</v>
      </c>
      <c r="K113" s="221" t="s">
        <v>154</v>
      </c>
      <c r="L113" s="14">
        <f>H113-890</f>
        <v>-890</v>
      </c>
      <c r="M113">
        <f>L113*2</f>
        <v>-1780</v>
      </c>
    </row>
    <row r="114" spans="1:12" ht="60">
      <c r="A114" s="134" t="s">
        <v>208</v>
      </c>
      <c r="B114" s="135" t="s">
        <v>215</v>
      </c>
      <c r="C114" s="139">
        <v>8</v>
      </c>
      <c r="D114" s="162"/>
      <c r="E114" s="137"/>
      <c r="F114" s="219"/>
      <c r="G114" s="137"/>
      <c r="H114" s="163"/>
      <c r="I114" s="219"/>
      <c r="J114" s="139" t="s">
        <v>210</v>
      </c>
      <c r="K114" s="221"/>
      <c r="L114">
        <f>3100-230</f>
        <v>2870</v>
      </c>
    </row>
    <row r="115" spans="1:10" ht="15" hidden="1">
      <c r="A115" s="134">
        <v>4</v>
      </c>
      <c r="B115" s="135" t="s">
        <v>122</v>
      </c>
      <c r="C115" s="139"/>
      <c r="D115" s="137"/>
      <c r="E115" s="137"/>
      <c r="F115" s="220"/>
      <c r="G115" s="137"/>
      <c r="H115" s="163"/>
      <c r="I115" s="220"/>
      <c r="J115" s="139"/>
    </row>
    <row r="116" spans="1:10" ht="26.25" customHeight="1">
      <c r="A116" s="134">
        <v>3</v>
      </c>
      <c r="B116" s="139" t="s">
        <v>216</v>
      </c>
      <c r="C116" s="139">
        <v>20</v>
      </c>
      <c r="D116" s="137">
        <v>1.3</v>
      </c>
      <c r="E116" s="137">
        <f>C116*D116</f>
        <v>26</v>
      </c>
      <c r="F116" s="137">
        <f>K111/E120*E116</f>
        <v>5601.985815602837</v>
      </c>
      <c r="G116" s="137">
        <f>F116/C116</f>
        <v>280.0992907801418</v>
      </c>
      <c r="H116" s="160">
        <v>304</v>
      </c>
      <c r="I116" s="161">
        <f>C116*H116</f>
        <v>6080</v>
      </c>
      <c r="J116" s="139"/>
    </row>
    <row r="117" spans="1:12" ht="31.5" customHeight="1">
      <c r="A117" s="134">
        <v>4</v>
      </c>
      <c r="B117" s="139" t="s">
        <v>123</v>
      </c>
      <c r="C117" s="139">
        <v>28</v>
      </c>
      <c r="D117" s="137">
        <v>1</v>
      </c>
      <c r="E117" s="137">
        <f>C117*D117</f>
        <v>28</v>
      </c>
      <c r="F117" s="137">
        <f>K111/E120*E117</f>
        <v>6032.90780141844</v>
      </c>
      <c r="G117" s="137">
        <f>F117/C117</f>
        <v>215.46099290780143</v>
      </c>
      <c r="H117" s="160">
        <v>205</v>
      </c>
      <c r="I117" s="161">
        <f>C117*H117</f>
        <v>5740</v>
      </c>
      <c r="J117" s="164" t="s">
        <v>209</v>
      </c>
      <c r="L117">
        <f>C117+C118+C119</f>
        <v>52</v>
      </c>
    </row>
    <row r="118" spans="1:14" ht="33" customHeight="1">
      <c r="A118" s="134">
        <v>6</v>
      </c>
      <c r="B118" s="139" t="s">
        <v>150</v>
      </c>
      <c r="C118" s="139">
        <v>17</v>
      </c>
      <c r="D118" s="137"/>
      <c r="E118" s="137"/>
      <c r="F118" s="137"/>
      <c r="G118" s="137"/>
      <c r="H118" s="161"/>
      <c r="I118" s="161"/>
      <c r="J118" s="139" t="s">
        <v>149</v>
      </c>
      <c r="N118">
        <f>10870+16080+37980</f>
        <v>64930</v>
      </c>
    </row>
    <row r="119" spans="1:15" ht="15">
      <c r="A119" s="134">
        <v>7</v>
      </c>
      <c r="B119" s="135" t="s">
        <v>152</v>
      </c>
      <c r="C119" s="139">
        <v>7</v>
      </c>
      <c r="D119" s="137"/>
      <c r="E119" s="137"/>
      <c r="F119" s="137"/>
      <c r="G119" s="137"/>
      <c r="H119" s="137"/>
      <c r="I119" s="137"/>
      <c r="J119" s="139"/>
      <c r="N119">
        <v>3</v>
      </c>
      <c r="O119">
        <v>5360</v>
      </c>
    </row>
    <row r="120" spans="1:12" s="26" customFormat="1" ht="15">
      <c r="A120" s="152"/>
      <c r="B120" s="147" t="s">
        <v>6</v>
      </c>
      <c r="C120" s="166">
        <f>SUM(C112:C119)</f>
        <v>136</v>
      </c>
      <c r="D120" s="148"/>
      <c r="E120" s="148">
        <f>SUM(E112:E117)</f>
        <v>211.5</v>
      </c>
      <c r="F120" s="148">
        <f>SUM(F112:F117)</f>
        <v>112800</v>
      </c>
      <c r="G120" s="148"/>
      <c r="H120" s="148"/>
      <c r="I120" s="165">
        <f>SUM(I112:I117)</f>
        <v>112800</v>
      </c>
      <c r="J120" s="166"/>
      <c r="K120" s="49">
        <f>I120-99000</f>
        <v>13800</v>
      </c>
      <c r="L120" s="14"/>
    </row>
    <row r="121" spans="1:11" ht="15">
      <c r="A121" s="167"/>
      <c r="B121" s="135" t="s">
        <v>119</v>
      </c>
      <c r="C121" s="144"/>
      <c r="D121" s="168"/>
      <c r="E121" s="168"/>
      <c r="F121" s="168"/>
      <c r="G121" s="168"/>
      <c r="H121" s="168">
        <f>F120-I113</f>
        <v>45570</v>
      </c>
      <c r="I121" s="137">
        <f>F120-I120</f>
        <v>0</v>
      </c>
      <c r="J121" s="140"/>
      <c r="K121">
        <f>I121/28</f>
        <v>0</v>
      </c>
    </row>
    <row r="123" spans="2:10" ht="15">
      <c r="B123" s="216" t="s">
        <v>20</v>
      </c>
      <c r="C123" s="216"/>
      <c r="D123" s="216"/>
      <c r="E123" s="216"/>
      <c r="F123" s="216"/>
      <c r="I123" s="50"/>
      <c r="J123" s="51"/>
    </row>
    <row r="124" spans="9:10" ht="15">
      <c r="I124" s="50"/>
      <c r="J124" s="51"/>
    </row>
    <row r="125" spans="2:10" ht="30">
      <c r="B125" s="52" t="s">
        <v>69</v>
      </c>
      <c r="C125" s="53" t="s">
        <v>70</v>
      </c>
      <c r="I125" s="50"/>
      <c r="J125" s="51"/>
    </row>
    <row r="126" spans="2:10" ht="15">
      <c r="B126" s="50" t="s">
        <v>73</v>
      </c>
      <c r="C126" s="51" t="s">
        <v>60</v>
      </c>
      <c r="I126" s="50"/>
      <c r="J126" s="51"/>
    </row>
    <row r="127" spans="2:3" ht="15">
      <c r="B127" s="50" t="s">
        <v>74</v>
      </c>
      <c r="C127" s="51" t="s">
        <v>71</v>
      </c>
    </row>
    <row r="128" spans="2:3" ht="15">
      <c r="B128" s="50" t="s">
        <v>75</v>
      </c>
      <c r="C128" s="51" t="s">
        <v>26</v>
      </c>
    </row>
    <row r="129" spans="2:3" ht="15">
      <c r="B129" s="50" t="s">
        <v>76</v>
      </c>
      <c r="C129" s="51" t="s">
        <v>72</v>
      </c>
    </row>
    <row r="130" spans="2:3" ht="15">
      <c r="B130" s="50" t="s">
        <v>77</v>
      </c>
      <c r="C130" s="51"/>
    </row>
    <row r="131" spans="2:3" ht="15">
      <c r="B131" s="50" t="s">
        <v>78</v>
      </c>
      <c r="C131" s="51"/>
    </row>
    <row r="132" spans="2:3" ht="15">
      <c r="B132" s="50" t="s">
        <v>33</v>
      </c>
      <c r="C132" s="51"/>
    </row>
    <row r="133" spans="2:3" ht="15">
      <c r="B133" s="50" t="s">
        <v>79</v>
      </c>
      <c r="C133" s="51"/>
    </row>
    <row r="134" ht="15">
      <c r="B134" s="54" t="s">
        <v>80</v>
      </c>
    </row>
    <row r="135" spans="2:3" ht="15">
      <c r="B135" s="52" t="s">
        <v>108</v>
      </c>
      <c r="C135" s="53" t="s">
        <v>115</v>
      </c>
    </row>
    <row r="136" spans="2:3" ht="15">
      <c r="B136" s="50" t="s">
        <v>109</v>
      </c>
      <c r="C136" s="51" t="s">
        <v>114</v>
      </c>
    </row>
    <row r="137" spans="2:3" ht="15">
      <c r="B137" s="50" t="s">
        <v>110</v>
      </c>
      <c r="C137" s="51"/>
    </row>
    <row r="138" spans="2:3" ht="15">
      <c r="B138" s="50" t="s">
        <v>111</v>
      </c>
      <c r="C138" s="51"/>
    </row>
    <row r="139" spans="2:3" ht="15">
      <c r="B139" s="50" t="s">
        <v>112</v>
      </c>
      <c r="C139" s="51"/>
    </row>
    <row r="140" spans="2:3" ht="15">
      <c r="B140" s="50" t="s">
        <v>113</v>
      </c>
      <c r="C140" s="51"/>
    </row>
    <row r="141" ht="15.75" thickBot="1"/>
    <row r="142" spans="1:4" ht="19.5" thickBot="1">
      <c r="A142" s="178" t="s">
        <v>0</v>
      </c>
      <c r="B142" s="179" t="s">
        <v>2</v>
      </c>
      <c r="C142" s="180" t="s">
        <v>222</v>
      </c>
      <c r="D142" s="180" t="s">
        <v>40</v>
      </c>
    </row>
    <row r="143" spans="1:4" ht="79.5" thickBot="1">
      <c r="A143" s="181" t="s">
        <v>223</v>
      </c>
      <c r="B143" s="182" t="s">
        <v>224</v>
      </c>
      <c r="C143" s="210">
        <v>52</v>
      </c>
      <c r="D143" s="183" t="s">
        <v>225</v>
      </c>
    </row>
    <row r="144" spans="1:4" ht="50.25" thickBot="1">
      <c r="A144" s="181" t="s">
        <v>226</v>
      </c>
      <c r="B144" s="184" t="s">
        <v>227</v>
      </c>
      <c r="C144" s="210">
        <v>40</v>
      </c>
      <c r="D144" s="185"/>
    </row>
    <row r="145" spans="1:4" ht="17.25" thickBot="1">
      <c r="A145" s="181" t="s">
        <v>228</v>
      </c>
      <c r="B145" s="186" t="s">
        <v>229</v>
      </c>
      <c r="C145" s="210">
        <v>14</v>
      </c>
      <c r="D145" s="185"/>
    </row>
    <row r="146" spans="1:4" ht="95.25" thickBot="1">
      <c r="A146" s="181" t="s">
        <v>230</v>
      </c>
      <c r="B146" s="186" t="s">
        <v>231</v>
      </c>
      <c r="C146" s="210">
        <v>30</v>
      </c>
      <c r="D146" s="183" t="s">
        <v>232</v>
      </c>
    </row>
    <row r="147" spans="1:4" ht="19.5" thickBot="1">
      <c r="A147" s="187"/>
      <c r="B147" s="188" t="s">
        <v>6</v>
      </c>
      <c r="C147" s="211">
        <v>136</v>
      </c>
      <c r="D147" s="189"/>
    </row>
  </sheetData>
  <sheetProtection/>
  <mergeCells count="25">
    <mergeCell ref="A1:H1"/>
    <mergeCell ref="I98:I100"/>
    <mergeCell ref="F85:F87"/>
    <mergeCell ref="I85:I87"/>
    <mergeCell ref="A12:A14"/>
    <mergeCell ref="A15:A18"/>
    <mergeCell ref="B71:I71"/>
    <mergeCell ref="B21:I22"/>
    <mergeCell ref="B43:I43"/>
    <mergeCell ref="A2:H2"/>
    <mergeCell ref="B80:I81"/>
    <mergeCell ref="M15:M18"/>
    <mergeCell ref="K85:K86"/>
    <mergeCell ref="B53:I53"/>
    <mergeCell ref="B62:I62"/>
    <mergeCell ref="B12:B14"/>
    <mergeCell ref="B15:B18"/>
    <mergeCell ref="B8:C8"/>
    <mergeCell ref="B123:F123"/>
    <mergeCell ref="B108:I109"/>
    <mergeCell ref="F113:F115"/>
    <mergeCell ref="I113:I115"/>
    <mergeCell ref="K113:K114"/>
    <mergeCell ref="B94:I95"/>
    <mergeCell ref="F98:F100"/>
  </mergeCells>
  <printOptions/>
  <pageMargins left="0.89" right="0.75" top="0.7" bottom="1" header="0.3" footer="0.3"/>
  <pageSetup fitToHeight="1" fitToWidth="1" horizontalDpi="300" verticalDpi="300" orientation="landscape" paperSize="9" scale="98" r:id="rId2"/>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M60"/>
  <sheetViews>
    <sheetView zoomScalePageLayoutView="0" workbookViewId="0" topLeftCell="A1">
      <selection activeCell="H28" sqref="H28"/>
    </sheetView>
  </sheetViews>
  <sheetFormatPr defaultColWidth="8.8515625" defaultRowHeight="15"/>
  <cols>
    <col min="1" max="1" width="4.421875" style="1" customWidth="1"/>
    <col min="2" max="2" width="33.421875" style="0" customWidth="1"/>
    <col min="3" max="3" width="8.7109375" style="0" customWidth="1"/>
    <col min="4" max="4" width="9.8515625" style="0" customWidth="1"/>
    <col min="5" max="5" width="11.28125" style="0" customWidth="1"/>
    <col min="6" max="6" width="9.140625" style="0" customWidth="1"/>
    <col min="7" max="7" width="13.421875" style="0" customWidth="1"/>
    <col min="8" max="8" width="10.7109375" style="0" customWidth="1"/>
    <col min="9" max="9" width="17.28125" style="0" customWidth="1"/>
    <col min="10" max="10" width="25.421875" style="16" customWidth="1"/>
    <col min="11" max="12" width="8.8515625" style="0" customWidth="1"/>
    <col min="13" max="13" width="10.421875" style="0" customWidth="1"/>
    <col min="14" max="14" width="8.8515625" style="0" customWidth="1"/>
    <col min="15" max="15" width="11.7109375" style="0" customWidth="1"/>
  </cols>
  <sheetData>
    <row r="1" spans="2:9" ht="15">
      <c r="B1" s="232" t="s">
        <v>49</v>
      </c>
      <c r="C1" s="232"/>
      <c r="D1" s="232"/>
      <c r="E1" s="232"/>
      <c r="F1" s="232"/>
      <c r="G1" s="232"/>
      <c r="H1" s="232"/>
      <c r="I1" s="232"/>
    </row>
    <row r="2" spans="2:9" ht="15">
      <c r="B2" s="232"/>
      <c r="C2" s="232"/>
      <c r="D2" s="232"/>
      <c r="E2" s="232"/>
      <c r="F2" s="232"/>
      <c r="G2" s="232"/>
      <c r="H2" s="232"/>
      <c r="I2" s="232"/>
    </row>
    <row r="3" spans="2:9" ht="15">
      <c r="B3" s="1"/>
      <c r="C3" s="1"/>
      <c r="D3" s="1"/>
      <c r="E3" s="1"/>
      <c r="F3" s="1"/>
      <c r="G3" s="1"/>
      <c r="H3" s="1"/>
      <c r="I3" s="1"/>
    </row>
    <row r="4" spans="2:3" ht="15">
      <c r="B4" s="5" t="s">
        <v>42</v>
      </c>
      <c r="C4" s="5"/>
    </row>
    <row r="5" spans="2:3" ht="15">
      <c r="B5" s="5" t="s">
        <v>36</v>
      </c>
      <c r="C5" s="18">
        <v>632700</v>
      </c>
    </row>
    <row r="6" spans="2:9" ht="15">
      <c r="B6" s="5" t="s">
        <v>48</v>
      </c>
      <c r="C6" s="18">
        <v>80000</v>
      </c>
      <c r="E6" s="16"/>
      <c r="F6" s="16"/>
      <c r="G6" s="16"/>
      <c r="H6" s="16"/>
      <c r="I6" s="16"/>
    </row>
    <row r="7" spans="2:9" ht="15" customHeight="1">
      <c r="B7" s="5" t="s">
        <v>37</v>
      </c>
      <c r="C7" s="18">
        <f>C5+C6</f>
        <v>712700</v>
      </c>
      <c r="E7" s="16"/>
      <c r="F7" s="16"/>
      <c r="G7" s="16"/>
      <c r="H7" s="16"/>
      <c r="I7" s="16"/>
    </row>
    <row r="8" ht="15">
      <c r="J8" s="16">
        <f>1500+975</f>
        <v>2475</v>
      </c>
    </row>
    <row r="9" spans="1:3" ht="19.5" hidden="1">
      <c r="A9" s="27" t="s">
        <v>52</v>
      </c>
      <c r="B9" s="28" t="s">
        <v>53</v>
      </c>
      <c r="C9" t="s">
        <v>59</v>
      </c>
    </row>
    <row r="10" spans="1:9" ht="45" hidden="1">
      <c r="A10" s="35" t="s">
        <v>0</v>
      </c>
      <c r="B10" s="35" t="s">
        <v>2</v>
      </c>
      <c r="C10" s="36" t="s">
        <v>11</v>
      </c>
      <c r="D10" s="35" t="s">
        <v>7</v>
      </c>
      <c r="E10" s="36" t="s">
        <v>16</v>
      </c>
      <c r="F10" s="35" t="s">
        <v>17</v>
      </c>
      <c r="G10" s="36" t="s">
        <v>12</v>
      </c>
      <c r="H10" s="35" t="s">
        <v>18</v>
      </c>
      <c r="I10" s="35" t="s">
        <v>19</v>
      </c>
    </row>
    <row r="11" spans="1:9" ht="15" hidden="1">
      <c r="A11" s="37">
        <v>1</v>
      </c>
      <c r="B11" s="38" t="s">
        <v>50</v>
      </c>
      <c r="C11" s="38">
        <v>60</v>
      </c>
      <c r="D11" s="39">
        <v>4</v>
      </c>
      <c r="E11" s="39">
        <f>C11*D11</f>
        <v>240</v>
      </c>
      <c r="F11" s="39">
        <f>709700/297.7*E11</f>
        <v>572146.4561639235</v>
      </c>
      <c r="G11" s="39">
        <f>F11/C11</f>
        <v>9535.774269398726</v>
      </c>
      <c r="H11" s="39">
        <v>9500</v>
      </c>
      <c r="I11" s="39">
        <f>C11*H11</f>
        <v>570000</v>
      </c>
    </row>
    <row r="12" spans="1:9" ht="15" hidden="1">
      <c r="A12" s="37">
        <v>3</v>
      </c>
      <c r="B12" s="38" t="s">
        <v>47</v>
      </c>
      <c r="C12" s="38">
        <f>27+12</f>
        <v>39</v>
      </c>
      <c r="D12" s="39">
        <v>1.3</v>
      </c>
      <c r="E12" s="39">
        <f>C12*D12</f>
        <v>50.7</v>
      </c>
      <c r="F12" s="39">
        <f>709700/297.7*E12</f>
        <v>120865.93886462883</v>
      </c>
      <c r="G12" s="39">
        <f>F12/C12</f>
        <v>3099.126637554585</v>
      </c>
      <c r="H12" s="39">
        <v>3100</v>
      </c>
      <c r="I12" s="39">
        <f>C12*H12</f>
        <v>120900</v>
      </c>
    </row>
    <row r="13" spans="1:9" ht="15" hidden="1">
      <c r="A13" s="37">
        <v>3</v>
      </c>
      <c r="B13" s="38" t="s">
        <v>5</v>
      </c>
      <c r="C13" s="38">
        <f>C15-C11-C12</f>
        <v>7</v>
      </c>
      <c r="D13" s="39">
        <v>1</v>
      </c>
      <c r="E13" s="39">
        <f>C13*D13</f>
        <v>7</v>
      </c>
      <c r="F13" s="39">
        <f>709700/297.7*E13</f>
        <v>16687.604971447767</v>
      </c>
      <c r="G13" s="39">
        <f>F13/C13</f>
        <v>2383.943567349681</v>
      </c>
      <c r="H13" s="39">
        <v>2500</v>
      </c>
      <c r="I13" s="39">
        <f>C13*H13</f>
        <v>17500</v>
      </c>
    </row>
    <row r="14" spans="1:9" ht="15" hidden="1">
      <c r="A14" s="37">
        <v>4</v>
      </c>
      <c r="B14" s="38" t="s">
        <v>38</v>
      </c>
      <c r="C14" s="38"/>
      <c r="D14" s="39"/>
      <c r="E14" s="39"/>
      <c r="F14" s="39"/>
      <c r="G14" s="39"/>
      <c r="H14" s="39"/>
      <c r="I14" s="39">
        <v>4300</v>
      </c>
    </row>
    <row r="15" spans="1:10" ht="15" hidden="1">
      <c r="A15" s="37"/>
      <c r="B15" s="38" t="s">
        <v>6</v>
      </c>
      <c r="C15" s="38">
        <v>106</v>
      </c>
      <c r="D15" s="39"/>
      <c r="E15" s="39">
        <f>SUM(E11:E13)</f>
        <v>297.7</v>
      </c>
      <c r="F15" s="39">
        <f>SUM(F11:F13)</f>
        <v>709700</v>
      </c>
      <c r="G15" s="39"/>
      <c r="H15" s="39"/>
      <c r="I15" s="39">
        <f>SUM(I11:I14)</f>
        <v>712700</v>
      </c>
      <c r="J15" s="17"/>
    </row>
    <row r="17" spans="1:9" ht="36.75" customHeight="1">
      <c r="A17" s="27"/>
      <c r="B17" s="28" t="s">
        <v>83</v>
      </c>
      <c r="C17" s="234"/>
      <c r="D17" s="234"/>
      <c r="E17" s="234"/>
      <c r="F17" s="234"/>
      <c r="G17" s="234"/>
      <c r="H17" s="234"/>
      <c r="I17" s="234"/>
    </row>
    <row r="18" spans="1:9" ht="45">
      <c r="A18" s="35" t="s">
        <v>0</v>
      </c>
      <c r="B18" s="35" t="s">
        <v>2</v>
      </c>
      <c r="C18" s="36" t="s">
        <v>11</v>
      </c>
      <c r="D18" s="35" t="s">
        <v>7</v>
      </c>
      <c r="E18" s="36" t="s">
        <v>16</v>
      </c>
      <c r="F18" s="35" t="s">
        <v>17</v>
      </c>
      <c r="G18" s="36" t="s">
        <v>12</v>
      </c>
      <c r="H18" s="35" t="s">
        <v>18</v>
      </c>
      <c r="I18" s="35" t="s">
        <v>41</v>
      </c>
    </row>
    <row r="19" spans="1:10" ht="15">
      <c r="A19" s="37">
        <v>1</v>
      </c>
      <c r="B19" s="38" t="s">
        <v>1</v>
      </c>
      <c r="C19" s="38">
        <v>52</v>
      </c>
      <c r="D19" s="39">
        <v>4</v>
      </c>
      <c r="E19" s="39">
        <f>C19*D19</f>
        <v>208</v>
      </c>
      <c r="F19" s="39">
        <f>712700/E24*E19</f>
        <v>487636.84210526315</v>
      </c>
      <c r="G19" s="39">
        <f>F19/C19</f>
        <v>9377.631578947368</v>
      </c>
      <c r="H19" s="46">
        <v>9200</v>
      </c>
      <c r="I19" s="39">
        <f>C19*H19</f>
        <v>478400</v>
      </c>
      <c r="J19" s="16">
        <v>52</v>
      </c>
    </row>
    <row r="20" spans="1:9" ht="30">
      <c r="A20" s="37">
        <v>2</v>
      </c>
      <c r="B20" s="40" t="s">
        <v>118</v>
      </c>
      <c r="C20" s="38">
        <v>40</v>
      </c>
      <c r="D20" s="39">
        <v>1.3</v>
      </c>
      <c r="E20" s="39">
        <f>C20*D20</f>
        <v>52</v>
      </c>
      <c r="F20" s="39">
        <f>712700/E24*E20</f>
        <v>121909.21052631579</v>
      </c>
      <c r="G20" s="39">
        <f>F20/C20</f>
        <v>3047.7302631578946</v>
      </c>
      <c r="H20" s="46">
        <v>3100</v>
      </c>
      <c r="I20" s="39">
        <f>C20*H20</f>
        <v>124000</v>
      </c>
    </row>
    <row r="21" spans="1:10" ht="15">
      <c r="A21" s="37">
        <v>3</v>
      </c>
      <c r="B21" s="38" t="s">
        <v>5</v>
      </c>
      <c r="C21" s="38">
        <v>14</v>
      </c>
      <c r="D21" s="39">
        <v>1</v>
      </c>
      <c r="E21" s="39">
        <f>C21*D21</f>
        <v>14</v>
      </c>
      <c r="F21" s="39">
        <f>712700/E24*E21</f>
        <v>32821.71052631579</v>
      </c>
      <c r="G21" s="39">
        <f>F21/C21</f>
        <v>2344.407894736842</v>
      </c>
      <c r="H21" s="46">
        <v>2500</v>
      </c>
      <c r="I21" s="39">
        <f>C21*H21</f>
        <v>35000</v>
      </c>
      <c r="J21" s="16">
        <v>14</v>
      </c>
    </row>
    <row r="22" spans="1:9" ht="15">
      <c r="A22" s="37">
        <v>4</v>
      </c>
      <c r="B22" s="38" t="s">
        <v>39</v>
      </c>
      <c r="C22" s="38">
        <v>30</v>
      </c>
      <c r="D22" s="39">
        <v>1</v>
      </c>
      <c r="E22" s="39">
        <f>C22*D22</f>
        <v>30</v>
      </c>
      <c r="F22" s="39">
        <f>712700/E24*E22</f>
        <v>70332.23684210527</v>
      </c>
      <c r="G22" s="39">
        <f>F22/C22</f>
        <v>2344.407894736842</v>
      </c>
      <c r="H22" s="46">
        <v>2500</v>
      </c>
      <c r="I22" s="39">
        <f>C22*H22</f>
        <v>75000</v>
      </c>
    </row>
    <row r="23" spans="1:10" ht="15">
      <c r="A23" s="37">
        <v>5</v>
      </c>
      <c r="B23" s="38" t="s">
        <v>58</v>
      </c>
      <c r="C23" s="38"/>
      <c r="D23" s="39"/>
      <c r="E23" s="39"/>
      <c r="F23" s="39"/>
      <c r="G23" s="39"/>
      <c r="H23" s="46"/>
      <c r="I23" s="39">
        <v>300</v>
      </c>
      <c r="J23" s="16">
        <f>I23/2</f>
        <v>150</v>
      </c>
    </row>
    <row r="24" spans="1:11" ht="15">
      <c r="A24" s="37">
        <v>6</v>
      </c>
      <c r="B24" s="38" t="s">
        <v>6</v>
      </c>
      <c r="C24" s="38">
        <f>SUM(C19:C22)</f>
        <v>136</v>
      </c>
      <c r="D24" s="39"/>
      <c r="E24" s="39">
        <f>SUM(E19:E22)</f>
        <v>304</v>
      </c>
      <c r="F24" s="39">
        <f>SUM(F19:F22)</f>
        <v>712699.9999999999</v>
      </c>
      <c r="G24" s="39"/>
      <c r="H24" s="39"/>
      <c r="I24" s="39">
        <f>SUM(I19:I23)</f>
        <v>712700</v>
      </c>
      <c r="J24" s="17">
        <f>F24-I24</f>
        <v>0</v>
      </c>
      <c r="K24">
        <f>J24/7</f>
        <v>0</v>
      </c>
    </row>
    <row r="25" spans="2:9" ht="15">
      <c r="B25" s="233" t="s">
        <v>117</v>
      </c>
      <c r="C25" s="233"/>
      <c r="D25" s="233"/>
      <c r="E25" s="233"/>
      <c r="F25" s="233"/>
      <c r="G25" s="233"/>
      <c r="H25" s="233"/>
      <c r="I25" s="233"/>
    </row>
    <row r="26" spans="2:9" ht="15" customHeight="1">
      <c r="B26" s="233"/>
      <c r="C26" s="233"/>
      <c r="D26" s="233"/>
      <c r="E26" s="233"/>
      <c r="F26" s="233"/>
      <c r="G26" s="233"/>
      <c r="H26" s="233"/>
      <c r="I26" s="233"/>
    </row>
    <row r="27" spans="2:9" ht="54" customHeight="1">
      <c r="B27" s="233"/>
      <c r="C27" s="233"/>
      <c r="D27" s="233"/>
      <c r="E27" s="233"/>
      <c r="F27" s="233"/>
      <c r="G27" s="233"/>
      <c r="H27" s="233"/>
      <c r="I27" s="233"/>
    </row>
    <row r="28" ht="15">
      <c r="B28" s="24"/>
    </row>
    <row r="32" spans="2:9" ht="15">
      <c r="B32" s="217" t="s">
        <v>56</v>
      </c>
      <c r="C32" s="217"/>
      <c r="D32" s="217"/>
      <c r="E32" s="217"/>
      <c r="F32" s="217"/>
      <c r="G32" s="217"/>
      <c r="H32" s="217"/>
      <c r="I32" s="217"/>
    </row>
    <row r="33" spans="2:9" ht="15">
      <c r="B33" s="217"/>
      <c r="C33" s="217"/>
      <c r="D33" s="217"/>
      <c r="E33" s="217"/>
      <c r="F33" s="217"/>
      <c r="G33" s="217"/>
      <c r="H33" s="217"/>
      <c r="I33" s="217"/>
    </row>
    <row r="34" spans="1:10" ht="15">
      <c r="A34" s="21"/>
      <c r="B34" s="22"/>
      <c r="C34" s="22"/>
      <c r="D34" s="22"/>
      <c r="E34" s="22"/>
      <c r="F34" s="22"/>
      <c r="G34" s="22"/>
      <c r="H34" s="22"/>
      <c r="I34" s="22"/>
      <c r="J34" s="23"/>
    </row>
    <row r="35" spans="1:11" ht="45">
      <c r="A35" s="35" t="s">
        <v>0</v>
      </c>
      <c r="B35" s="35" t="s">
        <v>2</v>
      </c>
      <c r="C35" s="36" t="s">
        <v>11</v>
      </c>
      <c r="D35" s="35" t="s">
        <v>7</v>
      </c>
      <c r="E35" s="36" t="s">
        <v>16</v>
      </c>
      <c r="F35" s="35" t="s">
        <v>17</v>
      </c>
      <c r="G35" s="36" t="s">
        <v>12</v>
      </c>
      <c r="H35" s="35" t="s">
        <v>18</v>
      </c>
      <c r="I35" s="35" t="s">
        <v>19</v>
      </c>
      <c r="J35" s="36" t="s">
        <v>40</v>
      </c>
      <c r="K35" s="14">
        <f>99000-I37-I38-I39</f>
        <v>57450</v>
      </c>
    </row>
    <row r="36" spans="1:10" ht="15">
      <c r="A36" s="37">
        <v>1</v>
      </c>
      <c r="B36" s="38" t="s">
        <v>1</v>
      </c>
      <c r="C36" s="38">
        <v>53</v>
      </c>
      <c r="D36" s="39">
        <v>4</v>
      </c>
      <c r="E36" s="39">
        <f>C36*D36</f>
        <v>212</v>
      </c>
      <c r="F36" s="39">
        <f>K35/E42*E36</f>
        <v>44942.43542435425</v>
      </c>
      <c r="G36" s="39">
        <f>F36/C36</f>
        <v>847.9704797047971</v>
      </c>
      <c r="H36" s="47">
        <v>750</v>
      </c>
      <c r="I36" s="47">
        <f>C36*H36</f>
        <v>39750</v>
      </c>
      <c r="J36" s="40"/>
    </row>
    <row r="37" spans="1:13" ht="45">
      <c r="A37" s="37">
        <v>2</v>
      </c>
      <c r="B37" s="40" t="s">
        <v>62</v>
      </c>
      <c r="C37" s="38">
        <v>3</v>
      </c>
      <c r="D37" s="39">
        <v>4</v>
      </c>
      <c r="E37" s="39"/>
      <c r="F37" s="39"/>
      <c r="G37" s="39">
        <v>7000</v>
      </c>
      <c r="H37" s="47">
        <v>6770</v>
      </c>
      <c r="I37" s="47">
        <f>H37*C37</f>
        <v>20310</v>
      </c>
      <c r="J37" s="40" t="s">
        <v>67</v>
      </c>
      <c r="L37" s="14">
        <f>H37-890</f>
        <v>5880</v>
      </c>
      <c r="M37">
        <f>L37*2</f>
        <v>11760</v>
      </c>
    </row>
    <row r="38" spans="1:12" ht="60">
      <c r="A38" s="37">
        <v>3</v>
      </c>
      <c r="B38" s="38" t="s">
        <v>63</v>
      </c>
      <c r="C38" s="38">
        <v>7</v>
      </c>
      <c r="D38" s="39">
        <v>1.3</v>
      </c>
      <c r="E38" s="39"/>
      <c r="F38" s="39"/>
      <c r="G38" s="39">
        <v>3100</v>
      </c>
      <c r="H38" s="48" t="s">
        <v>64</v>
      </c>
      <c r="I38" s="47">
        <f>C38*G38-E56</f>
        <v>19290</v>
      </c>
      <c r="J38" s="40" t="s">
        <v>68</v>
      </c>
      <c r="L38">
        <f>3100-230</f>
        <v>2870</v>
      </c>
    </row>
    <row r="39" spans="1:10" ht="45">
      <c r="A39" s="37">
        <v>4</v>
      </c>
      <c r="B39" s="38" t="s">
        <v>65</v>
      </c>
      <c r="C39" s="38">
        <v>2</v>
      </c>
      <c r="D39" s="39">
        <v>1</v>
      </c>
      <c r="E39" s="39"/>
      <c r="F39" s="39"/>
      <c r="G39" s="39">
        <v>2500</v>
      </c>
      <c r="H39" s="48">
        <v>975</v>
      </c>
      <c r="I39" s="47">
        <f>H39*C39</f>
        <v>1950</v>
      </c>
      <c r="J39" s="40" t="s">
        <v>82</v>
      </c>
    </row>
    <row r="40" spans="1:10" ht="26.25" customHeight="1">
      <c r="A40" s="37">
        <v>5</v>
      </c>
      <c r="B40" s="38" t="s">
        <v>66</v>
      </c>
      <c r="C40" s="38">
        <v>59</v>
      </c>
      <c r="D40" s="39">
        <v>1</v>
      </c>
      <c r="E40" s="39">
        <f>C40*D40</f>
        <v>59</v>
      </c>
      <c r="F40" s="39">
        <f>K35/E42*E40</f>
        <v>12507.564575645756</v>
      </c>
      <c r="G40" s="39">
        <f>F40/C40</f>
        <v>211.99261992619927</v>
      </c>
      <c r="H40" s="47">
        <v>300</v>
      </c>
      <c r="I40" s="47">
        <f>C40*H40</f>
        <v>17700</v>
      </c>
      <c r="J40" s="40"/>
    </row>
    <row r="41" spans="1:10" ht="30">
      <c r="A41" s="37"/>
      <c r="B41" s="38" t="s">
        <v>61</v>
      </c>
      <c r="C41" s="38">
        <v>12</v>
      </c>
      <c r="D41" s="39"/>
      <c r="E41" s="39"/>
      <c r="F41" s="39"/>
      <c r="G41" s="39"/>
      <c r="H41" s="39"/>
      <c r="I41" s="39"/>
      <c r="J41" s="40" t="s">
        <v>81</v>
      </c>
    </row>
    <row r="42" spans="1:12" s="26" customFormat="1" ht="15">
      <c r="A42" s="41"/>
      <c r="B42" s="42" t="s">
        <v>6</v>
      </c>
      <c r="C42" s="42">
        <f>SUM(C36:C41)</f>
        <v>136</v>
      </c>
      <c r="D42" s="43"/>
      <c r="E42" s="43">
        <f>SUM(E36:E40)</f>
        <v>271</v>
      </c>
      <c r="F42" s="43">
        <f>SUM(F36:F40)</f>
        <v>57450</v>
      </c>
      <c r="G42" s="43"/>
      <c r="H42" s="43"/>
      <c r="I42" s="45">
        <f>SUM(I36:I40)</f>
        <v>99000</v>
      </c>
      <c r="J42" s="44"/>
      <c r="K42" s="49">
        <f>I42-99000</f>
        <v>0</v>
      </c>
      <c r="L42" s="14"/>
    </row>
    <row r="44" spans="2:10" ht="15">
      <c r="B44" s="216" t="s">
        <v>20</v>
      </c>
      <c r="C44" s="216"/>
      <c r="D44" s="216"/>
      <c r="E44" s="216"/>
      <c r="F44" s="216"/>
      <c r="I44" s="50"/>
      <c r="J44" s="51"/>
    </row>
    <row r="45" spans="2:10" ht="31.5" customHeight="1">
      <c r="B45" s="29" t="s">
        <v>44</v>
      </c>
      <c r="C45" s="30" t="s">
        <v>45</v>
      </c>
      <c r="D45" s="31" t="s">
        <v>57</v>
      </c>
      <c r="E45" s="238" t="s">
        <v>46</v>
      </c>
      <c r="F45" s="239"/>
      <c r="I45" s="52" t="s">
        <v>69</v>
      </c>
      <c r="J45" s="53" t="s">
        <v>70</v>
      </c>
    </row>
    <row r="46" spans="2:10" ht="15">
      <c r="B46" s="235" t="s">
        <v>21</v>
      </c>
      <c r="C46" s="5" t="s">
        <v>22</v>
      </c>
      <c r="D46" s="5"/>
      <c r="E46" s="5">
        <v>300</v>
      </c>
      <c r="F46" s="5"/>
      <c r="I46" s="50" t="s">
        <v>73</v>
      </c>
      <c r="J46" s="51" t="s">
        <v>60</v>
      </c>
    </row>
    <row r="47" spans="2:10" ht="15">
      <c r="B47" s="237"/>
      <c r="C47" s="5" t="s">
        <v>23</v>
      </c>
      <c r="D47" s="5"/>
      <c r="E47" s="5">
        <v>300</v>
      </c>
      <c r="F47" s="5"/>
      <c r="I47" s="50" t="s">
        <v>74</v>
      </c>
      <c r="J47" s="51" t="s">
        <v>71</v>
      </c>
    </row>
    <row r="48" spans="2:10" ht="15">
      <c r="B48" s="236"/>
      <c r="C48" s="5" t="s">
        <v>24</v>
      </c>
      <c r="D48" s="5"/>
      <c r="E48" s="5">
        <v>230</v>
      </c>
      <c r="F48" s="5"/>
      <c r="H48" t="s">
        <v>116</v>
      </c>
      <c r="I48" s="50" t="s">
        <v>75</v>
      </c>
      <c r="J48" s="51" t="s">
        <v>26</v>
      </c>
    </row>
    <row r="49" spans="2:10" ht="15">
      <c r="B49" s="235" t="s">
        <v>25</v>
      </c>
      <c r="C49" s="5" t="s">
        <v>26</v>
      </c>
      <c r="D49" s="5">
        <v>1</v>
      </c>
      <c r="E49" s="5"/>
      <c r="F49" s="5">
        <v>230</v>
      </c>
      <c r="I49" s="50" t="s">
        <v>76</v>
      </c>
      <c r="J49" s="51" t="s">
        <v>72</v>
      </c>
    </row>
    <row r="50" spans="2:10" ht="15">
      <c r="B50" s="236"/>
      <c r="C50" s="5" t="s">
        <v>27</v>
      </c>
      <c r="D50" s="5">
        <v>1</v>
      </c>
      <c r="E50" s="5"/>
      <c r="F50" s="5">
        <v>230</v>
      </c>
      <c r="I50" s="50" t="s">
        <v>77</v>
      </c>
      <c r="J50" s="51"/>
    </row>
    <row r="51" spans="2:10" ht="15">
      <c r="B51" s="20" t="s">
        <v>28</v>
      </c>
      <c r="C51" s="5" t="s">
        <v>29</v>
      </c>
      <c r="D51" s="5"/>
      <c r="E51" s="5">
        <v>230</v>
      </c>
      <c r="F51" s="5"/>
      <c r="I51" s="50" t="s">
        <v>78</v>
      </c>
      <c r="J51" s="51"/>
    </row>
    <row r="52" spans="2:10" ht="15">
      <c r="B52" s="20" t="s">
        <v>30</v>
      </c>
      <c r="C52" s="5" t="s">
        <v>31</v>
      </c>
      <c r="D52" s="5"/>
      <c r="E52" s="5">
        <v>230</v>
      </c>
      <c r="F52" s="5"/>
      <c r="I52" s="50" t="s">
        <v>33</v>
      </c>
      <c r="J52" s="51"/>
    </row>
    <row r="53" spans="2:10" ht="15">
      <c r="B53" s="235" t="s">
        <v>32</v>
      </c>
      <c r="C53" s="5" t="s">
        <v>33</v>
      </c>
      <c r="D53" s="5"/>
      <c r="E53" s="5">
        <v>890</v>
      </c>
      <c r="F53" s="5"/>
      <c r="I53" s="50" t="s">
        <v>79</v>
      </c>
      <c r="J53" s="51"/>
    </row>
    <row r="54" spans="2:9" ht="15">
      <c r="B54" s="236"/>
      <c r="C54" s="5" t="s">
        <v>60</v>
      </c>
      <c r="D54" s="5">
        <v>1</v>
      </c>
      <c r="E54" s="5"/>
      <c r="F54" s="5">
        <v>230</v>
      </c>
      <c r="I54" s="54" t="s">
        <v>80</v>
      </c>
    </row>
    <row r="55" spans="2:10" ht="15">
      <c r="B55" s="20" t="s">
        <v>34</v>
      </c>
      <c r="C55" s="5" t="s">
        <v>35</v>
      </c>
      <c r="D55" s="5"/>
      <c r="E55" s="5">
        <v>230</v>
      </c>
      <c r="F55" s="5"/>
      <c r="I55" s="52" t="s">
        <v>108</v>
      </c>
      <c r="J55" s="53" t="s">
        <v>115</v>
      </c>
    </row>
    <row r="56" spans="1:10" s="26" customFormat="1" ht="15">
      <c r="A56" s="25"/>
      <c r="B56" s="32" t="s">
        <v>43</v>
      </c>
      <c r="C56" s="33">
        <v>10</v>
      </c>
      <c r="D56" s="33">
        <v>1</v>
      </c>
      <c r="E56" s="19">
        <f>SUM(E46:E55)</f>
        <v>2410</v>
      </c>
      <c r="F56" s="19">
        <f>SUM(F46:F55)</f>
        <v>690</v>
      </c>
      <c r="I56" s="50" t="s">
        <v>109</v>
      </c>
      <c r="J56" s="51" t="s">
        <v>114</v>
      </c>
    </row>
    <row r="57" spans="9:10" ht="15">
      <c r="I57" s="50" t="s">
        <v>110</v>
      </c>
      <c r="J57" s="51"/>
    </row>
    <row r="58" spans="9:10" ht="15">
      <c r="I58" s="50" t="s">
        <v>111</v>
      </c>
      <c r="J58" s="51"/>
    </row>
    <row r="59" spans="9:10" ht="15">
      <c r="I59" s="50" t="s">
        <v>112</v>
      </c>
      <c r="J59" s="51"/>
    </row>
    <row r="60" spans="9:10" ht="15">
      <c r="I60" s="50" t="s">
        <v>113</v>
      </c>
      <c r="J60" s="51"/>
    </row>
  </sheetData>
  <sheetProtection/>
  <mergeCells count="9">
    <mergeCell ref="B1:I2"/>
    <mergeCell ref="B25:I27"/>
    <mergeCell ref="B32:I33"/>
    <mergeCell ref="C17:I17"/>
    <mergeCell ref="B53:B54"/>
    <mergeCell ref="B46:B48"/>
    <mergeCell ref="B49:B50"/>
    <mergeCell ref="E45:F45"/>
    <mergeCell ref="B44:F44"/>
  </mergeCells>
  <printOptions/>
  <pageMargins left="1.39" right="0.75" top="0.98" bottom="1" header="0.3" footer="0.3"/>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3:P55"/>
  <sheetViews>
    <sheetView zoomScalePageLayoutView="0" workbookViewId="0" topLeftCell="A4">
      <selection activeCell="E45" sqref="E45"/>
    </sheetView>
  </sheetViews>
  <sheetFormatPr defaultColWidth="8.8515625" defaultRowHeight="15"/>
  <sheetData>
    <row r="13" spans="1:10" ht="15">
      <c r="A13" s="1"/>
      <c r="B13" t="s">
        <v>13</v>
      </c>
      <c r="D13" t="s">
        <v>14</v>
      </c>
      <c r="J13" s="16"/>
    </row>
    <row r="14" spans="1:10" ht="15">
      <c r="A14" s="4">
        <v>1</v>
      </c>
      <c r="B14" s="5" t="s">
        <v>1</v>
      </c>
      <c r="C14" s="5">
        <v>62</v>
      </c>
      <c r="D14" s="7">
        <v>2500</v>
      </c>
      <c r="E14" s="7">
        <f>C14*D14</f>
        <v>155000</v>
      </c>
      <c r="F14" s="8"/>
      <c r="G14" s="8"/>
      <c r="J14" s="16"/>
    </row>
    <row r="15" spans="1:10" ht="15">
      <c r="A15" s="4">
        <v>3</v>
      </c>
      <c r="B15" s="5" t="s">
        <v>4</v>
      </c>
      <c r="C15" s="5">
        <v>30</v>
      </c>
      <c r="D15" s="7">
        <v>1800</v>
      </c>
      <c r="E15" s="7">
        <f>C15*D15</f>
        <v>54000</v>
      </c>
      <c r="F15" s="8"/>
      <c r="G15" s="8"/>
      <c r="J15" s="16"/>
    </row>
    <row r="16" spans="1:10" ht="15">
      <c r="A16" s="4">
        <v>3</v>
      </c>
      <c r="B16" s="5" t="s">
        <v>5</v>
      </c>
      <c r="C16" s="5">
        <v>44</v>
      </c>
      <c r="D16" s="7">
        <v>1100</v>
      </c>
      <c r="E16" s="7">
        <f>C16*D16</f>
        <v>48400</v>
      </c>
      <c r="F16" s="8"/>
      <c r="G16" s="8"/>
      <c r="J16" s="16"/>
    </row>
    <row r="17" spans="1:10" ht="15">
      <c r="A17" s="4">
        <v>4</v>
      </c>
      <c r="B17" s="5" t="s">
        <v>6</v>
      </c>
      <c r="C17" s="5">
        <f>SUM(C14:C16)</f>
        <v>136</v>
      </c>
      <c r="D17" s="7"/>
      <c r="E17" s="7">
        <f>SUM(E14:E16)</f>
        <v>257400</v>
      </c>
      <c r="F17" s="8"/>
      <c r="G17" s="8"/>
      <c r="J17" s="16"/>
    </row>
    <row r="18" spans="1:10" ht="15">
      <c r="A18" s="1"/>
      <c r="J18" s="16"/>
    </row>
    <row r="19" spans="1:16" ht="33" customHeight="1">
      <c r="A19" s="2" t="s">
        <v>0</v>
      </c>
      <c r="B19" s="2" t="s">
        <v>2</v>
      </c>
      <c r="C19" s="3" t="s">
        <v>11</v>
      </c>
      <c r="D19" s="2" t="s">
        <v>7</v>
      </c>
      <c r="E19" s="2"/>
      <c r="F19" s="2"/>
      <c r="G19" s="3" t="s">
        <v>12</v>
      </c>
      <c r="H19" s="2" t="s">
        <v>8</v>
      </c>
      <c r="I19" s="2"/>
      <c r="J19" s="3" t="s">
        <v>10</v>
      </c>
      <c r="K19" s="2" t="s">
        <v>9</v>
      </c>
      <c r="L19" s="2"/>
      <c r="M19" s="3" t="s">
        <v>10</v>
      </c>
      <c r="N19" s="2" t="s">
        <v>15</v>
      </c>
      <c r="O19" s="2"/>
      <c r="P19" s="3" t="s">
        <v>10</v>
      </c>
    </row>
    <row r="20" spans="1:16" ht="15">
      <c r="A20" s="4">
        <v>1</v>
      </c>
      <c r="B20" s="5" t="s">
        <v>1</v>
      </c>
      <c r="C20" s="5">
        <v>60</v>
      </c>
      <c r="D20" s="6">
        <v>4</v>
      </c>
      <c r="E20" s="6">
        <f>C20*D20</f>
        <v>240</v>
      </c>
      <c r="F20" s="6">
        <f>41000/275.2*E20</f>
        <v>35755.813953488374</v>
      </c>
      <c r="G20" s="6">
        <f>F20/C20</f>
        <v>595.9302325581396</v>
      </c>
      <c r="H20" s="6">
        <v>600</v>
      </c>
      <c r="I20" s="6">
        <f>C20*H20</f>
        <v>36000</v>
      </c>
      <c r="J20" s="15">
        <f>H20/$G$22</f>
        <v>4.027317073170732</v>
      </c>
      <c r="K20" s="6">
        <v>550</v>
      </c>
      <c r="L20" s="6">
        <f>C20*K20</f>
        <v>33000</v>
      </c>
      <c r="M20" s="6">
        <f>K20/$G$22</f>
        <v>3.6917073170731705</v>
      </c>
      <c r="N20" s="6">
        <v>900</v>
      </c>
      <c r="O20" s="6">
        <f>N20*C20</f>
        <v>54000</v>
      </c>
      <c r="P20" s="6">
        <f>N20/Sheet2!$G$41</f>
        <v>3.2715</v>
      </c>
    </row>
    <row r="21" spans="1:16" ht="15">
      <c r="A21" s="4">
        <v>2</v>
      </c>
      <c r="B21" s="5" t="s">
        <v>4</v>
      </c>
      <c r="C21" s="5">
        <v>4</v>
      </c>
      <c r="D21" s="6">
        <v>1.3</v>
      </c>
      <c r="E21" s="6">
        <f>C21*D21</f>
        <v>5.2</v>
      </c>
      <c r="F21" s="6">
        <f>41000/275.2*E21</f>
        <v>774.7093023255815</v>
      </c>
      <c r="G21" s="6">
        <f>F21/C21</f>
        <v>193.67732558139537</v>
      </c>
      <c r="H21" s="6">
        <v>200</v>
      </c>
      <c r="I21" s="6">
        <f>C21*H21</f>
        <v>800</v>
      </c>
      <c r="J21" s="15">
        <f>H21/$G$22</f>
        <v>1.3424390243902438</v>
      </c>
      <c r="K21" s="6">
        <v>500</v>
      </c>
      <c r="L21" s="6">
        <f>C21*K21</f>
        <v>2000</v>
      </c>
      <c r="M21" s="6">
        <f>K21/$G$22</f>
        <v>3.3560975609756096</v>
      </c>
      <c r="N21" s="6">
        <v>650</v>
      </c>
      <c r="O21" s="6">
        <f>N21*C21</f>
        <v>2600</v>
      </c>
      <c r="P21" s="6">
        <f>N21/Sheet2!$G$41</f>
        <v>2.36275</v>
      </c>
    </row>
    <row r="22" spans="1:16" ht="15">
      <c r="A22" s="4">
        <v>3</v>
      </c>
      <c r="B22" s="5" t="s">
        <v>5</v>
      </c>
      <c r="C22" s="5">
        <v>30</v>
      </c>
      <c r="D22" s="6">
        <v>1</v>
      </c>
      <c r="E22" s="6">
        <f>C22*D22</f>
        <v>30</v>
      </c>
      <c r="F22" s="6">
        <f>41000/275.2*E22</f>
        <v>4469.476744186047</v>
      </c>
      <c r="G22" s="6">
        <f>F22/C22</f>
        <v>148.9825581395349</v>
      </c>
      <c r="H22" s="6">
        <v>150</v>
      </c>
      <c r="I22" s="6">
        <f>C22*H22</f>
        <v>4500</v>
      </c>
      <c r="J22" s="15">
        <f>H22/$G$22</f>
        <v>1.006829268292683</v>
      </c>
      <c r="K22" s="6">
        <v>200</v>
      </c>
      <c r="L22" s="6">
        <f>C22*K22</f>
        <v>6000</v>
      </c>
      <c r="M22" s="6">
        <f>K22/$G$22</f>
        <v>1.3424390243902438</v>
      </c>
      <c r="N22" s="6">
        <v>300</v>
      </c>
      <c r="O22" s="6">
        <f>N22*C22</f>
        <v>9000</v>
      </c>
      <c r="P22" s="6">
        <f>N22/Sheet2!$G$41</f>
        <v>1.0905</v>
      </c>
    </row>
    <row r="23" spans="1:16" ht="15">
      <c r="A23" s="4">
        <v>4</v>
      </c>
      <c r="B23" s="5" t="s">
        <v>6</v>
      </c>
      <c r="C23" s="5">
        <f>SUM(C20:C22)</f>
        <v>94</v>
      </c>
      <c r="D23" s="6"/>
      <c r="E23" s="6">
        <f>SUM(E20:E22)</f>
        <v>275.2</v>
      </c>
      <c r="F23" s="6">
        <f>SUM(F20:F22)</f>
        <v>41000</v>
      </c>
      <c r="G23" s="6"/>
      <c r="H23" s="6"/>
      <c r="I23" s="6">
        <f>SUM(I20:I22)</f>
        <v>41300</v>
      </c>
      <c r="J23" s="15"/>
      <c r="K23" s="6"/>
      <c r="L23" s="6">
        <f>SUM(L20:L22)</f>
        <v>41000</v>
      </c>
      <c r="M23" s="5"/>
      <c r="N23" s="6"/>
      <c r="O23" s="6">
        <f>SUM(O20:O22)</f>
        <v>65600</v>
      </c>
      <c r="P23" s="5"/>
    </row>
    <row r="28" spans="1:2" ht="15">
      <c r="A28" s="1"/>
      <c r="B28">
        <v>2017</v>
      </c>
    </row>
    <row r="29" spans="1:7" ht="15">
      <c r="A29" s="4">
        <v>1</v>
      </c>
      <c r="B29" s="5" t="s">
        <v>1</v>
      </c>
      <c r="C29" s="5">
        <v>60</v>
      </c>
      <c r="D29" s="6">
        <v>4</v>
      </c>
      <c r="E29" s="6">
        <f>C29*D29</f>
        <v>240</v>
      </c>
      <c r="F29" s="6">
        <f>99000/277*E29</f>
        <v>85776.17328519856</v>
      </c>
      <c r="G29" s="6">
        <f>F29/C29</f>
        <v>1429.6028880866427</v>
      </c>
    </row>
    <row r="30" spans="1:7" ht="15">
      <c r="A30" s="4">
        <v>3</v>
      </c>
      <c r="B30" s="5" t="s">
        <v>4</v>
      </c>
      <c r="C30" s="5">
        <v>10</v>
      </c>
      <c r="D30" s="6">
        <v>1.3</v>
      </c>
      <c r="E30" s="6">
        <f>C30*D30</f>
        <v>13</v>
      </c>
      <c r="F30" s="6">
        <f>99000/277*E30</f>
        <v>4646.209386281589</v>
      </c>
      <c r="G30" s="6">
        <f>F30/C30</f>
        <v>464.6209386281589</v>
      </c>
    </row>
    <row r="31" spans="1:7" ht="15">
      <c r="A31" s="4">
        <v>3</v>
      </c>
      <c r="B31" s="5" t="s">
        <v>5</v>
      </c>
      <c r="C31" s="5">
        <v>24</v>
      </c>
      <c r="D31" s="6">
        <v>1</v>
      </c>
      <c r="E31" s="6">
        <f>C31*D31</f>
        <v>24</v>
      </c>
      <c r="F31" s="6">
        <f>99000/277*E31</f>
        <v>8577.617328519857</v>
      </c>
      <c r="G31" s="6">
        <f>F31/C31</f>
        <v>357.40072202166067</v>
      </c>
    </row>
    <row r="32" spans="1:7" ht="15">
      <c r="A32" s="4">
        <v>4</v>
      </c>
      <c r="B32" s="5" t="s">
        <v>6</v>
      </c>
      <c r="C32" s="5">
        <f>SUM(C29:C31)</f>
        <v>94</v>
      </c>
      <c r="D32" s="6"/>
      <c r="E32" s="6">
        <f>SUM(E29:E31)</f>
        <v>277</v>
      </c>
      <c r="F32" s="6">
        <f>SUM(F29:F31)</f>
        <v>99000.00000000001</v>
      </c>
      <c r="G32" s="6"/>
    </row>
    <row r="33" spans="1:7" ht="15">
      <c r="A33" s="1"/>
      <c r="G33" s="6"/>
    </row>
    <row r="34" ht="15">
      <c r="A34" s="1"/>
    </row>
    <row r="35" spans="1:6" ht="15">
      <c r="A35" s="1"/>
      <c r="F35">
        <v>632700</v>
      </c>
    </row>
    <row r="36" ht="15">
      <c r="A36" s="1"/>
    </row>
    <row r="37" spans="1:16" ht="33" customHeight="1">
      <c r="A37" s="2" t="s">
        <v>0</v>
      </c>
      <c r="B37" s="2" t="s">
        <v>2</v>
      </c>
      <c r="C37" s="3" t="s">
        <v>11</v>
      </c>
      <c r="D37" s="2" t="s">
        <v>7</v>
      </c>
      <c r="E37" s="2"/>
      <c r="F37" s="2"/>
      <c r="G37" s="3" t="s">
        <v>12</v>
      </c>
      <c r="H37" s="2" t="s">
        <v>8</v>
      </c>
      <c r="I37" s="2"/>
      <c r="J37" s="3" t="s">
        <v>10</v>
      </c>
      <c r="K37" s="2" t="s">
        <v>9</v>
      </c>
      <c r="L37" s="2"/>
      <c r="M37" s="3" t="s">
        <v>10</v>
      </c>
      <c r="N37" s="2" t="s">
        <v>15</v>
      </c>
      <c r="O37" s="2"/>
      <c r="P37" s="3" t="s">
        <v>10</v>
      </c>
    </row>
    <row r="38" spans="1:16" ht="15">
      <c r="A38" s="4">
        <v>1</v>
      </c>
      <c r="B38" s="5" t="s">
        <v>1</v>
      </c>
      <c r="C38" s="5">
        <v>60</v>
      </c>
      <c r="D38" s="6">
        <v>4</v>
      </c>
      <c r="E38" s="6">
        <f>C38*D38</f>
        <v>240</v>
      </c>
      <c r="F38" s="6">
        <f>80000/290.8*E38</f>
        <v>66024.75928473177</v>
      </c>
      <c r="G38" s="6">
        <f>F38/C38</f>
        <v>1100.4126547455296</v>
      </c>
      <c r="H38" s="6">
        <v>1000</v>
      </c>
      <c r="I38" s="6">
        <f>C38*H38</f>
        <v>60000</v>
      </c>
      <c r="J38" s="15">
        <f>H38/$G$41</f>
        <v>3.635</v>
      </c>
      <c r="K38" s="6">
        <v>1050</v>
      </c>
      <c r="L38" s="6">
        <f>C38*K38</f>
        <v>63000</v>
      </c>
      <c r="M38" s="6">
        <f>K38/$G$41</f>
        <v>3.81675</v>
      </c>
      <c r="N38" s="6">
        <v>900</v>
      </c>
      <c r="O38" s="6">
        <f>N38*C38</f>
        <v>54000</v>
      </c>
      <c r="P38" s="6">
        <f>N38/$G$41</f>
        <v>3.2715</v>
      </c>
    </row>
    <row r="39" spans="1:16" ht="15">
      <c r="A39" s="4">
        <v>2</v>
      </c>
      <c r="B39" s="5" t="s">
        <v>3</v>
      </c>
      <c r="C39" s="5">
        <v>12</v>
      </c>
      <c r="D39" s="6">
        <v>1.3</v>
      </c>
      <c r="E39" s="6">
        <f>C39*D39</f>
        <v>15.600000000000001</v>
      </c>
      <c r="F39" s="6">
        <f>80000/290.8*E39</f>
        <v>4291.609353507566</v>
      </c>
      <c r="G39" s="6">
        <f>F39/C39</f>
        <v>357.6341127922972</v>
      </c>
      <c r="H39" s="6">
        <v>800</v>
      </c>
      <c r="I39" s="6">
        <f>C39*H39</f>
        <v>9600</v>
      </c>
      <c r="J39" s="15">
        <f>H39/$G$41</f>
        <v>2.908</v>
      </c>
      <c r="K39" s="6">
        <v>600</v>
      </c>
      <c r="L39" s="6">
        <f>C39*K39</f>
        <v>7200</v>
      </c>
      <c r="M39" s="6">
        <f>K39/$G$41</f>
        <v>2.181</v>
      </c>
      <c r="N39" s="6">
        <v>1200</v>
      </c>
      <c r="O39" s="6">
        <f>N39*C39</f>
        <v>14400</v>
      </c>
      <c r="P39" s="6">
        <f>N39/$G$41</f>
        <v>4.362</v>
      </c>
    </row>
    <row r="40" spans="1:16" ht="15">
      <c r="A40" s="4">
        <v>3</v>
      </c>
      <c r="B40" s="5" t="s">
        <v>4</v>
      </c>
      <c r="C40" s="5">
        <v>4</v>
      </c>
      <c r="D40" s="6">
        <v>1.3</v>
      </c>
      <c r="E40" s="6">
        <f>C40*D40</f>
        <v>5.2</v>
      </c>
      <c r="F40" s="6">
        <f>80000/290.8*E40</f>
        <v>1430.5364511691885</v>
      </c>
      <c r="G40" s="6">
        <f>F40/C40</f>
        <v>357.6341127922971</v>
      </c>
      <c r="H40" s="6">
        <v>350</v>
      </c>
      <c r="I40" s="6">
        <f>C40*H40</f>
        <v>1400</v>
      </c>
      <c r="J40" s="15">
        <f>H40/$G$41</f>
        <v>1.2722499999999999</v>
      </c>
      <c r="K40" s="6">
        <v>350</v>
      </c>
      <c r="L40" s="6">
        <f>C40*K40</f>
        <v>1400</v>
      </c>
      <c r="M40" s="6">
        <f>K40/$G$41</f>
        <v>1.2722499999999999</v>
      </c>
      <c r="N40" s="6">
        <v>650</v>
      </c>
      <c r="O40" s="6">
        <f>N40*C40</f>
        <v>2600</v>
      </c>
      <c r="P40" s="6">
        <f>N40/$G$41</f>
        <v>2.36275</v>
      </c>
    </row>
    <row r="41" spans="1:16" ht="15">
      <c r="A41" s="4">
        <v>4</v>
      </c>
      <c r="B41" s="5" t="s">
        <v>5</v>
      </c>
      <c r="C41" s="5">
        <v>30</v>
      </c>
      <c r="D41" s="6">
        <v>1</v>
      </c>
      <c r="E41" s="6">
        <f>C41*D41</f>
        <v>30</v>
      </c>
      <c r="F41" s="6">
        <f>80000/290.8*E41</f>
        <v>8253.094910591471</v>
      </c>
      <c r="G41" s="6">
        <f>F41/C41</f>
        <v>275.1031636863824</v>
      </c>
      <c r="H41" s="6">
        <v>300</v>
      </c>
      <c r="I41" s="6">
        <f>C41*H41</f>
        <v>9000</v>
      </c>
      <c r="J41" s="15">
        <f>H41/$G$41</f>
        <v>1.0905</v>
      </c>
      <c r="K41" s="6">
        <v>280</v>
      </c>
      <c r="L41" s="6">
        <f>C41*K41</f>
        <v>8400</v>
      </c>
      <c r="M41" s="6">
        <f>K41/$G$41</f>
        <v>1.0178</v>
      </c>
      <c r="N41" s="6">
        <v>300</v>
      </c>
      <c r="O41" s="6">
        <f>N41*C41</f>
        <v>9000</v>
      </c>
      <c r="P41" s="6">
        <f>N41/$G$41</f>
        <v>1.0905</v>
      </c>
    </row>
    <row r="42" spans="1:16" ht="15">
      <c r="A42" s="4">
        <v>5</v>
      </c>
      <c r="B42" s="5" t="s">
        <v>6</v>
      </c>
      <c r="C42" s="5">
        <f>SUM(C38:C41)</f>
        <v>106</v>
      </c>
      <c r="D42" s="6"/>
      <c r="E42" s="6">
        <f>SUM(E38:E41)</f>
        <v>290.8</v>
      </c>
      <c r="F42" s="6">
        <f>SUM(F38:F41)</f>
        <v>80000</v>
      </c>
      <c r="G42" s="6"/>
      <c r="H42" s="6"/>
      <c r="I42" s="6">
        <f>SUM(I38:I41)</f>
        <v>80000</v>
      </c>
      <c r="J42" s="15"/>
      <c r="K42" s="6"/>
      <c r="L42" s="6">
        <f>SUM(L38:L41)</f>
        <v>80000</v>
      </c>
      <c r="M42" s="5"/>
      <c r="N42" s="6"/>
      <c r="O42" s="6">
        <f>SUM(O38:O41)</f>
        <v>80000</v>
      </c>
      <c r="P42" s="5"/>
    </row>
    <row r="43" spans="1:10" ht="15">
      <c r="A43" s="1"/>
      <c r="J43" s="16"/>
    </row>
    <row r="44" ht="15">
      <c r="A44" s="1"/>
    </row>
    <row r="47" spans="1:10" ht="19.5">
      <c r="A47" s="27" t="s">
        <v>54</v>
      </c>
      <c r="B47" s="28" t="s">
        <v>55</v>
      </c>
      <c r="C47" t="s">
        <v>51</v>
      </c>
      <c r="J47" s="16"/>
    </row>
    <row r="48" spans="1:10" ht="60">
      <c r="A48" s="9" t="s">
        <v>0</v>
      </c>
      <c r="B48" s="9" t="s">
        <v>2</v>
      </c>
      <c r="C48" s="10" t="s">
        <v>11</v>
      </c>
      <c r="D48" s="9" t="s">
        <v>7</v>
      </c>
      <c r="E48" s="10" t="s">
        <v>16</v>
      </c>
      <c r="F48" s="9" t="s">
        <v>17</v>
      </c>
      <c r="G48" s="10" t="s">
        <v>12</v>
      </c>
      <c r="H48" s="9" t="s">
        <v>18</v>
      </c>
      <c r="I48" s="9" t="s">
        <v>41</v>
      </c>
      <c r="J48" s="16"/>
    </row>
    <row r="49" spans="1:10" ht="15">
      <c r="A49" s="11">
        <v>1</v>
      </c>
      <c r="B49" s="12" t="s">
        <v>1</v>
      </c>
      <c r="C49" s="12">
        <v>60</v>
      </c>
      <c r="D49" s="13">
        <v>4</v>
      </c>
      <c r="E49" s="13">
        <f>C49*D49</f>
        <v>240</v>
      </c>
      <c r="F49" s="13">
        <f>709700/327.7*E49</f>
        <v>519768.08056148916</v>
      </c>
      <c r="G49" s="13">
        <f>F49/C49</f>
        <v>8662.801342691486</v>
      </c>
      <c r="H49" s="13">
        <v>8500</v>
      </c>
      <c r="I49" s="13">
        <f>C49*H49</f>
        <v>510000</v>
      </c>
      <c r="J49" s="16"/>
    </row>
    <row r="50" spans="1:10" ht="15">
      <c r="A50" s="11">
        <v>3</v>
      </c>
      <c r="B50" s="12" t="s">
        <v>4</v>
      </c>
      <c r="C50" s="12">
        <f>27+12</f>
        <v>39</v>
      </c>
      <c r="D50" s="13">
        <v>1.3</v>
      </c>
      <c r="E50" s="13">
        <f>C50*D50</f>
        <v>50.7</v>
      </c>
      <c r="F50" s="13">
        <f>709700/327.7*E50</f>
        <v>109801.00701861459</v>
      </c>
      <c r="G50" s="13">
        <f>F50/C50</f>
        <v>2815.410436374733</v>
      </c>
      <c r="H50" s="13">
        <v>3100</v>
      </c>
      <c r="I50" s="13">
        <f>C50*H50</f>
        <v>120900</v>
      </c>
      <c r="J50" s="16"/>
    </row>
    <row r="51" spans="1:10" ht="15">
      <c r="A51" s="11">
        <v>3</v>
      </c>
      <c r="B51" s="12" t="s">
        <v>5</v>
      </c>
      <c r="C51" s="12">
        <v>7</v>
      </c>
      <c r="D51" s="13">
        <v>1</v>
      </c>
      <c r="E51" s="13">
        <f>C51*D51</f>
        <v>7</v>
      </c>
      <c r="F51" s="13">
        <f>709700/327.7*E51</f>
        <v>15159.9023497101</v>
      </c>
      <c r="G51" s="13">
        <f>F51/C51</f>
        <v>2165.7003356728715</v>
      </c>
      <c r="H51" s="13">
        <v>2100</v>
      </c>
      <c r="I51" s="13">
        <f>C51*H51</f>
        <v>14700</v>
      </c>
      <c r="J51" s="16"/>
    </row>
    <row r="52" spans="1:10" ht="15">
      <c r="A52" s="11">
        <v>4</v>
      </c>
      <c r="B52" s="12" t="s">
        <v>39</v>
      </c>
      <c r="C52" s="12">
        <v>30</v>
      </c>
      <c r="D52" s="13">
        <v>1</v>
      </c>
      <c r="E52" s="13">
        <f>C52*D52</f>
        <v>30</v>
      </c>
      <c r="F52" s="13">
        <f>709700/327.7*E52</f>
        <v>64971.010070186145</v>
      </c>
      <c r="G52" s="13">
        <f>F52/C52</f>
        <v>2165.7003356728715</v>
      </c>
      <c r="H52" s="13">
        <v>2100</v>
      </c>
      <c r="I52" s="13">
        <f>C52*H52</f>
        <v>63000</v>
      </c>
      <c r="J52" s="16"/>
    </row>
    <row r="53" spans="1:11" ht="15">
      <c r="A53" s="11">
        <v>5</v>
      </c>
      <c r="B53" s="12" t="s">
        <v>6</v>
      </c>
      <c r="C53" s="12">
        <v>136</v>
      </c>
      <c r="D53" s="13"/>
      <c r="E53" s="13">
        <f>SUM(E49:E52)</f>
        <v>327.7</v>
      </c>
      <c r="F53" s="13">
        <f>SUM(F49:F52)</f>
        <v>709700</v>
      </c>
      <c r="G53" s="13"/>
      <c r="H53" s="13"/>
      <c r="I53" s="13">
        <f>SUM(I49:I52)</f>
        <v>708600</v>
      </c>
      <c r="J53" s="17">
        <f>F53-I53</f>
        <v>1100</v>
      </c>
      <c r="K53">
        <f>J53/7</f>
        <v>157.14285714285714</v>
      </c>
    </row>
    <row r="54" spans="1:10" ht="15">
      <c r="A54" s="1"/>
      <c r="J54" s="16"/>
    </row>
    <row r="55" spans="1:10" ht="15">
      <c r="A55" s="1"/>
      <c r="J55" s="16"/>
    </row>
  </sheetData>
  <sheetProtection/>
  <printOptions/>
  <pageMargins left="0.75" right="0.75" top="1" bottom="1"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L62"/>
  <sheetViews>
    <sheetView zoomScalePageLayoutView="0" workbookViewId="0" topLeftCell="B19">
      <selection activeCell="G42" sqref="G42"/>
    </sheetView>
  </sheetViews>
  <sheetFormatPr defaultColWidth="8.8515625" defaultRowHeight="15"/>
  <cols>
    <col min="1" max="1" width="0" style="0" hidden="1" customWidth="1"/>
    <col min="2" max="2" width="4.421875" style="56" customWidth="1"/>
    <col min="3" max="3" width="13.7109375" style="0" customWidth="1"/>
    <col min="4" max="4" width="7.7109375" style="0" customWidth="1"/>
    <col min="5" max="5" width="9.00390625" style="0" customWidth="1"/>
    <col min="6" max="6" width="12.28125" style="0" customWidth="1"/>
    <col min="7" max="7" width="17.00390625" style="0" customWidth="1"/>
    <col min="8" max="8" width="12.28125" style="0" customWidth="1"/>
    <col min="9" max="9" width="16.421875" style="0" customWidth="1"/>
    <col min="10" max="12" width="7.28125" style="0" customWidth="1"/>
  </cols>
  <sheetData>
    <row r="1" spans="2:12" ht="15">
      <c r="B1" s="246" t="s">
        <v>126</v>
      </c>
      <c r="C1" s="246"/>
      <c r="D1" s="246"/>
      <c r="E1" s="246"/>
      <c r="F1" s="246"/>
      <c r="G1" s="246"/>
      <c r="H1" s="246"/>
      <c r="I1" s="246"/>
      <c r="J1" s="246"/>
      <c r="K1" s="246"/>
      <c r="L1" s="246"/>
    </row>
    <row r="2" spans="2:12" ht="15">
      <c r="B2" s="246"/>
      <c r="C2" s="246"/>
      <c r="D2" s="246"/>
      <c r="E2" s="246"/>
      <c r="F2" s="246"/>
      <c r="G2" s="246"/>
      <c r="H2" s="246"/>
      <c r="I2" s="246"/>
      <c r="J2" s="246"/>
      <c r="K2" s="246"/>
      <c r="L2" s="246"/>
    </row>
    <row r="3" spans="2:12" ht="15.75" customHeight="1">
      <c r="B3" s="75"/>
      <c r="C3" s="75"/>
      <c r="D3" s="75"/>
      <c r="E3" s="75"/>
      <c r="F3" s="75"/>
      <c r="G3" s="75"/>
      <c r="H3" s="75"/>
      <c r="I3" s="75"/>
      <c r="J3" s="247" t="s">
        <v>106</v>
      </c>
      <c r="K3" s="247"/>
      <c r="L3" s="247"/>
    </row>
    <row r="4" spans="1:12" s="67" customFormat="1" ht="28.5" customHeight="1">
      <c r="A4" s="76" t="s">
        <v>44</v>
      </c>
      <c r="B4" s="248" t="s">
        <v>105</v>
      </c>
      <c r="C4" s="240" t="s">
        <v>45</v>
      </c>
      <c r="D4" s="240" t="s">
        <v>101</v>
      </c>
      <c r="E4" s="240" t="s">
        <v>102</v>
      </c>
      <c r="F4" s="240"/>
      <c r="G4" s="240"/>
      <c r="H4" s="240"/>
      <c r="I4" s="240"/>
      <c r="J4" s="240"/>
      <c r="K4" s="241" t="s">
        <v>104</v>
      </c>
      <c r="L4" s="241"/>
    </row>
    <row r="5" spans="1:12" s="34" customFormat="1" ht="15">
      <c r="A5" s="76"/>
      <c r="B5" s="248"/>
      <c r="C5" s="240"/>
      <c r="D5" s="240"/>
      <c r="E5" s="74">
        <v>2015</v>
      </c>
      <c r="F5" s="240">
        <v>2016</v>
      </c>
      <c r="G5" s="240"/>
      <c r="H5" s="240">
        <v>2017</v>
      </c>
      <c r="I5" s="240"/>
      <c r="J5" s="240" t="s">
        <v>43</v>
      </c>
      <c r="K5" s="241" t="s">
        <v>36</v>
      </c>
      <c r="L5" s="241" t="s">
        <v>103</v>
      </c>
    </row>
    <row r="6" spans="1:12" s="34" customFormat="1" ht="15">
      <c r="A6" s="76"/>
      <c r="B6" s="248"/>
      <c r="C6" s="240"/>
      <c r="D6" s="240"/>
      <c r="E6" s="74" t="s">
        <v>103</v>
      </c>
      <c r="F6" s="74" t="s">
        <v>36</v>
      </c>
      <c r="G6" s="74" t="s">
        <v>103</v>
      </c>
      <c r="H6" s="74" t="s">
        <v>36</v>
      </c>
      <c r="I6" s="74" t="s">
        <v>127</v>
      </c>
      <c r="J6" s="240"/>
      <c r="K6" s="241"/>
      <c r="L6" s="241"/>
    </row>
    <row r="7" spans="1:12" s="34" customFormat="1" ht="60">
      <c r="A7" s="77"/>
      <c r="B7" s="78"/>
      <c r="C7" s="79"/>
      <c r="D7" s="79"/>
      <c r="E7" s="79"/>
      <c r="F7" s="79" t="s">
        <v>128</v>
      </c>
      <c r="G7" s="79" t="s">
        <v>129</v>
      </c>
      <c r="H7" s="79" t="s">
        <v>130</v>
      </c>
      <c r="I7" s="79" t="s">
        <v>131</v>
      </c>
      <c r="J7" s="79"/>
      <c r="K7" s="80"/>
      <c r="L7" s="80"/>
    </row>
    <row r="8" spans="2:12" s="57" customFormat="1" ht="15">
      <c r="B8" s="68" t="s">
        <v>52</v>
      </c>
      <c r="C8" s="69" t="s">
        <v>84</v>
      </c>
      <c r="D8" s="70"/>
      <c r="E8" s="71"/>
      <c r="F8" s="71"/>
      <c r="G8" s="71"/>
      <c r="H8" s="71"/>
      <c r="I8" s="71"/>
      <c r="J8" s="71"/>
      <c r="K8" s="71"/>
      <c r="L8" s="71"/>
    </row>
    <row r="9" spans="2:12" ht="15">
      <c r="B9" s="55">
        <v>1</v>
      </c>
      <c r="C9" s="5" t="s">
        <v>85</v>
      </c>
      <c r="D9" s="7">
        <v>5000</v>
      </c>
      <c r="E9" s="7">
        <v>2000</v>
      </c>
      <c r="F9" s="7">
        <v>1500</v>
      </c>
      <c r="G9" s="7"/>
      <c r="H9" s="7">
        <v>975</v>
      </c>
      <c r="I9" s="7">
        <v>525</v>
      </c>
      <c r="J9" s="7">
        <f aca="true" t="shared" si="0" ref="J9:J34">SUM(E9:I9)</f>
        <v>5000</v>
      </c>
      <c r="K9" s="7"/>
      <c r="L9" s="7"/>
    </row>
    <row r="10" spans="2:12" ht="15">
      <c r="B10" s="55">
        <v>2</v>
      </c>
      <c r="C10" s="5" t="s">
        <v>86</v>
      </c>
      <c r="D10" s="7">
        <v>5000</v>
      </c>
      <c r="E10" s="7">
        <v>2000</v>
      </c>
      <c r="F10" s="7">
        <v>1500</v>
      </c>
      <c r="G10" s="7"/>
      <c r="H10" s="7">
        <v>975</v>
      </c>
      <c r="I10" s="7">
        <v>525</v>
      </c>
      <c r="J10" s="7">
        <f t="shared" si="0"/>
        <v>5000</v>
      </c>
      <c r="K10" s="7"/>
      <c r="L10" s="7"/>
    </row>
    <row r="11" spans="2:12" s="57" customFormat="1" ht="15">
      <c r="B11" s="60" t="s">
        <v>54</v>
      </c>
      <c r="C11" s="62" t="s">
        <v>87</v>
      </c>
      <c r="D11" s="65"/>
      <c r="E11" s="65"/>
      <c r="F11" s="65"/>
      <c r="G11" s="65"/>
      <c r="H11" s="65"/>
      <c r="I11" s="65"/>
      <c r="J11" s="7">
        <f t="shared" si="0"/>
        <v>0</v>
      </c>
      <c r="K11" s="65"/>
      <c r="L11" s="65"/>
    </row>
    <row r="12" spans="2:12" ht="15">
      <c r="B12" s="55">
        <v>1</v>
      </c>
      <c r="C12" s="5" t="s">
        <v>88</v>
      </c>
      <c r="D12" s="7">
        <v>7000</v>
      </c>
      <c r="E12" s="7"/>
      <c r="F12" s="7">
        <v>3100</v>
      </c>
      <c r="G12" s="7">
        <v>1000</v>
      </c>
      <c r="H12" s="7"/>
      <c r="I12" s="7">
        <v>2900</v>
      </c>
      <c r="J12" s="7">
        <f t="shared" si="0"/>
        <v>7000</v>
      </c>
      <c r="K12" s="7"/>
      <c r="L12" s="7">
        <f aca="true" t="shared" si="1" ref="L12:L23">D12-J12</f>
        <v>0</v>
      </c>
    </row>
    <row r="13" spans="2:12" ht="15">
      <c r="B13" s="55">
        <v>2</v>
      </c>
      <c r="C13" s="5" t="s">
        <v>89</v>
      </c>
      <c r="D13" s="7">
        <v>7000</v>
      </c>
      <c r="E13" s="7"/>
      <c r="F13" s="7">
        <v>3100</v>
      </c>
      <c r="G13" s="7">
        <v>1000</v>
      </c>
      <c r="H13" s="7"/>
      <c r="I13" s="7">
        <v>2900</v>
      </c>
      <c r="J13" s="7">
        <f t="shared" si="0"/>
        <v>7000</v>
      </c>
      <c r="K13" s="7"/>
      <c r="L13" s="7">
        <f t="shared" si="1"/>
        <v>0</v>
      </c>
    </row>
    <row r="14" spans="2:12" ht="15">
      <c r="B14" s="55">
        <v>3</v>
      </c>
      <c r="C14" s="5" t="s">
        <v>90</v>
      </c>
      <c r="D14" s="7">
        <v>7000</v>
      </c>
      <c r="E14" s="7"/>
      <c r="F14" s="7">
        <v>3100</v>
      </c>
      <c r="G14" s="7">
        <v>1000</v>
      </c>
      <c r="H14" s="7"/>
      <c r="I14" s="7">
        <v>2900</v>
      </c>
      <c r="J14" s="7">
        <f t="shared" si="0"/>
        <v>7000</v>
      </c>
      <c r="K14" s="7"/>
      <c r="L14" s="7">
        <f t="shared" si="1"/>
        <v>0</v>
      </c>
    </row>
    <row r="15" spans="2:12" ht="15">
      <c r="B15" s="55">
        <v>4</v>
      </c>
      <c r="C15" s="5" t="s">
        <v>91</v>
      </c>
      <c r="D15" s="7">
        <v>7000</v>
      </c>
      <c r="E15" s="7"/>
      <c r="F15" s="7">
        <v>3100</v>
      </c>
      <c r="G15" s="7">
        <v>1000</v>
      </c>
      <c r="H15" s="7"/>
      <c r="I15" s="7">
        <v>2900</v>
      </c>
      <c r="J15" s="7">
        <f t="shared" si="0"/>
        <v>7000</v>
      </c>
      <c r="K15" s="7"/>
      <c r="L15" s="7">
        <f t="shared" si="1"/>
        <v>0</v>
      </c>
    </row>
    <row r="16" spans="2:12" ht="15">
      <c r="B16" s="55">
        <v>5</v>
      </c>
      <c r="C16" s="5" t="s">
        <v>92</v>
      </c>
      <c r="D16" s="7">
        <v>7000</v>
      </c>
      <c r="E16" s="7"/>
      <c r="F16" s="7">
        <v>3100</v>
      </c>
      <c r="G16" s="7">
        <v>1000</v>
      </c>
      <c r="H16" s="7"/>
      <c r="I16" s="7">
        <v>2900</v>
      </c>
      <c r="J16" s="7">
        <f t="shared" si="0"/>
        <v>7000</v>
      </c>
      <c r="K16" s="7"/>
      <c r="L16" s="7">
        <f t="shared" si="1"/>
        <v>0</v>
      </c>
    </row>
    <row r="17" spans="2:12" ht="15">
      <c r="B17" s="55">
        <v>6</v>
      </c>
      <c r="C17" s="5" t="s">
        <v>93</v>
      </c>
      <c r="D17" s="7">
        <v>7000</v>
      </c>
      <c r="E17" s="7"/>
      <c r="F17" s="7">
        <v>3100</v>
      </c>
      <c r="G17" s="7">
        <v>1000</v>
      </c>
      <c r="H17" s="7"/>
      <c r="I17" s="7">
        <v>2900</v>
      </c>
      <c r="J17" s="7">
        <f t="shared" si="0"/>
        <v>7000</v>
      </c>
      <c r="K17" s="7"/>
      <c r="L17" s="7">
        <f t="shared" si="1"/>
        <v>0</v>
      </c>
    </row>
    <row r="18" spans="2:12" ht="15">
      <c r="B18" s="55">
        <v>7</v>
      </c>
      <c r="C18" s="5" t="s">
        <v>94</v>
      </c>
      <c r="D18" s="7">
        <v>7000</v>
      </c>
      <c r="E18" s="7"/>
      <c r="F18" s="7">
        <v>3100</v>
      </c>
      <c r="G18" s="7">
        <v>1000</v>
      </c>
      <c r="H18" s="7"/>
      <c r="I18" s="7">
        <v>2900</v>
      </c>
      <c r="J18" s="7">
        <f t="shared" si="0"/>
        <v>7000</v>
      </c>
      <c r="K18" s="7"/>
      <c r="L18" s="7">
        <f t="shared" si="1"/>
        <v>0</v>
      </c>
    </row>
    <row r="19" spans="2:12" ht="15">
      <c r="B19" s="55">
        <v>8</v>
      </c>
      <c r="C19" s="5" t="s">
        <v>95</v>
      </c>
      <c r="D19" s="7">
        <v>7000</v>
      </c>
      <c r="E19" s="7"/>
      <c r="F19" s="7">
        <v>3100</v>
      </c>
      <c r="G19" s="7">
        <v>1000</v>
      </c>
      <c r="H19" s="7"/>
      <c r="I19" s="7">
        <v>2900</v>
      </c>
      <c r="J19" s="7">
        <f t="shared" si="0"/>
        <v>7000</v>
      </c>
      <c r="K19" s="7"/>
      <c r="L19" s="7">
        <f t="shared" si="1"/>
        <v>0</v>
      </c>
    </row>
    <row r="20" spans="2:12" ht="15">
      <c r="B20" s="55">
        <v>9</v>
      </c>
      <c r="C20" s="5" t="s">
        <v>96</v>
      </c>
      <c r="D20" s="7">
        <v>7000</v>
      </c>
      <c r="E20" s="7"/>
      <c r="F20" s="7">
        <v>3100</v>
      </c>
      <c r="G20" s="7">
        <v>1000</v>
      </c>
      <c r="H20" s="7"/>
      <c r="I20" s="7">
        <v>2900</v>
      </c>
      <c r="J20" s="7">
        <f t="shared" si="0"/>
        <v>7000</v>
      </c>
      <c r="K20" s="7"/>
      <c r="L20" s="7">
        <f t="shared" si="1"/>
        <v>0</v>
      </c>
    </row>
    <row r="21" spans="2:12" ht="15">
      <c r="B21" s="55">
        <v>10</v>
      </c>
      <c r="C21" s="5" t="s">
        <v>97</v>
      </c>
      <c r="D21" s="7">
        <v>7000</v>
      </c>
      <c r="E21" s="7"/>
      <c r="F21" s="7">
        <v>3100</v>
      </c>
      <c r="G21" s="7">
        <v>1000</v>
      </c>
      <c r="H21" s="7"/>
      <c r="I21" s="7">
        <v>2900</v>
      </c>
      <c r="J21" s="7">
        <f t="shared" si="0"/>
        <v>7000</v>
      </c>
      <c r="K21" s="7"/>
      <c r="L21" s="7">
        <f t="shared" si="1"/>
        <v>0</v>
      </c>
    </row>
    <row r="22" spans="2:12" ht="15">
      <c r="B22" s="55">
        <v>11</v>
      </c>
      <c r="C22" s="5" t="s">
        <v>98</v>
      </c>
      <c r="D22" s="7">
        <v>7000</v>
      </c>
      <c r="E22" s="7"/>
      <c r="F22" s="7">
        <v>3100</v>
      </c>
      <c r="G22" s="7">
        <v>1000</v>
      </c>
      <c r="H22" s="7"/>
      <c r="I22" s="7">
        <v>2900</v>
      </c>
      <c r="J22" s="7">
        <f t="shared" si="0"/>
        <v>7000</v>
      </c>
      <c r="K22" s="7"/>
      <c r="L22" s="7">
        <f t="shared" si="1"/>
        <v>0</v>
      </c>
    </row>
    <row r="23" spans="2:12" ht="15">
      <c r="B23" s="55">
        <v>12</v>
      </c>
      <c r="C23" s="5" t="s">
        <v>100</v>
      </c>
      <c r="D23" s="7">
        <v>9000</v>
      </c>
      <c r="E23" s="7"/>
      <c r="F23" s="7">
        <v>3100</v>
      </c>
      <c r="G23" s="7">
        <v>1000</v>
      </c>
      <c r="H23" s="7"/>
      <c r="I23" s="7">
        <v>4900</v>
      </c>
      <c r="J23" s="7">
        <f t="shared" si="0"/>
        <v>9000</v>
      </c>
      <c r="K23" s="7"/>
      <c r="L23" s="7">
        <f t="shared" si="1"/>
        <v>0</v>
      </c>
    </row>
    <row r="24" spans="1:12" s="57" customFormat="1" ht="15">
      <c r="A24" s="58"/>
      <c r="B24" s="60" t="s">
        <v>99</v>
      </c>
      <c r="C24" s="61" t="s">
        <v>20</v>
      </c>
      <c r="D24" s="64"/>
      <c r="E24" s="64"/>
      <c r="F24" s="65"/>
      <c r="G24" s="65"/>
      <c r="H24" s="65"/>
      <c r="I24" s="65"/>
      <c r="J24" s="7">
        <f t="shared" si="0"/>
        <v>0</v>
      </c>
      <c r="K24" s="65"/>
      <c r="L24" s="65"/>
    </row>
    <row r="25" spans="1:12" ht="15">
      <c r="A25" s="242" t="s">
        <v>21</v>
      </c>
      <c r="B25" s="63">
        <v>1</v>
      </c>
      <c r="C25" s="5" t="s">
        <v>22</v>
      </c>
      <c r="D25" s="7">
        <v>7000</v>
      </c>
      <c r="E25" s="7"/>
      <c r="F25" s="7">
        <v>300</v>
      </c>
      <c r="G25" s="7"/>
      <c r="H25" s="7">
        <v>2800</v>
      </c>
      <c r="I25" s="7">
        <v>2200</v>
      </c>
      <c r="J25" s="7">
        <f t="shared" si="0"/>
        <v>5300</v>
      </c>
      <c r="K25" s="7"/>
      <c r="L25" s="7">
        <f aca="true" t="shared" si="2" ref="L25:L34">D25-J25</f>
        <v>1700</v>
      </c>
    </row>
    <row r="26" spans="1:12" ht="15">
      <c r="A26" s="243"/>
      <c r="B26" s="63">
        <v>2</v>
      </c>
      <c r="C26" s="5" t="s">
        <v>23</v>
      </c>
      <c r="D26" s="7">
        <v>7000</v>
      </c>
      <c r="E26" s="7"/>
      <c r="F26" s="7">
        <v>300</v>
      </c>
      <c r="G26" s="7"/>
      <c r="H26" s="7">
        <v>2800</v>
      </c>
      <c r="I26" s="7">
        <v>2200</v>
      </c>
      <c r="J26" s="7">
        <f t="shared" si="0"/>
        <v>5300</v>
      </c>
      <c r="K26" s="7"/>
      <c r="L26" s="7">
        <f t="shared" si="2"/>
        <v>1700</v>
      </c>
    </row>
    <row r="27" spans="1:12" ht="15">
      <c r="A27" s="244"/>
      <c r="B27" s="63">
        <v>3</v>
      </c>
      <c r="C27" s="5" t="s">
        <v>24</v>
      </c>
      <c r="D27" s="7">
        <v>7000</v>
      </c>
      <c r="E27" s="7"/>
      <c r="F27" s="7">
        <v>230</v>
      </c>
      <c r="G27" s="7"/>
      <c r="H27" s="7">
        <v>2870</v>
      </c>
      <c r="I27" s="7">
        <v>2200</v>
      </c>
      <c r="J27" s="7">
        <f t="shared" si="0"/>
        <v>5300</v>
      </c>
      <c r="K27" s="7"/>
      <c r="L27" s="7">
        <f t="shared" si="2"/>
        <v>1700</v>
      </c>
    </row>
    <row r="28" spans="1:12" ht="15">
      <c r="A28" s="242" t="s">
        <v>25</v>
      </c>
      <c r="B28" s="63">
        <v>4</v>
      </c>
      <c r="C28" s="5" t="s">
        <v>26</v>
      </c>
      <c r="D28" s="7">
        <v>7000</v>
      </c>
      <c r="E28" s="7"/>
      <c r="F28" s="7">
        <v>230</v>
      </c>
      <c r="G28" s="7"/>
      <c r="H28" s="7">
        <v>6770</v>
      </c>
      <c r="I28" s="7"/>
      <c r="J28" s="7">
        <f t="shared" si="0"/>
        <v>7000</v>
      </c>
      <c r="K28" s="7"/>
      <c r="L28" s="7">
        <f t="shared" si="2"/>
        <v>0</v>
      </c>
    </row>
    <row r="29" spans="1:12" ht="15">
      <c r="A29" s="244"/>
      <c r="B29" s="63">
        <v>5</v>
      </c>
      <c r="C29" s="5" t="s">
        <v>27</v>
      </c>
      <c r="D29" s="7">
        <v>7000</v>
      </c>
      <c r="E29" s="7"/>
      <c r="F29" s="7">
        <v>230</v>
      </c>
      <c r="G29" s="7"/>
      <c r="H29" s="7">
        <v>6770</v>
      </c>
      <c r="I29" s="7"/>
      <c r="J29" s="7">
        <f t="shared" si="0"/>
        <v>7000</v>
      </c>
      <c r="K29" s="7"/>
      <c r="L29" s="7">
        <f t="shared" si="2"/>
        <v>0</v>
      </c>
    </row>
    <row r="30" spans="1:12" ht="15">
      <c r="A30" s="59" t="s">
        <v>28</v>
      </c>
      <c r="B30" s="63">
        <v>6</v>
      </c>
      <c r="C30" s="5" t="s">
        <v>29</v>
      </c>
      <c r="D30" s="7">
        <v>7000</v>
      </c>
      <c r="E30" s="7"/>
      <c r="F30" s="7">
        <v>230</v>
      </c>
      <c r="G30" s="7"/>
      <c r="H30" s="7">
        <v>2870</v>
      </c>
      <c r="I30" s="7">
        <v>2200</v>
      </c>
      <c r="J30" s="7">
        <f t="shared" si="0"/>
        <v>5300</v>
      </c>
      <c r="K30" s="7"/>
      <c r="L30" s="7">
        <f t="shared" si="2"/>
        <v>1700</v>
      </c>
    </row>
    <row r="31" spans="1:12" ht="15">
      <c r="A31" s="59" t="s">
        <v>30</v>
      </c>
      <c r="B31" s="63">
        <v>7</v>
      </c>
      <c r="C31" s="5" t="s">
        <v>31</v>
      </c>
      <c r="D31" s="7">
        <v>7000</v>
      </c>
      <c r="E31" s="7"/>
      <c r="F31" s="7">
        <v>230</v>
      </c>
      <c r="G31" s="7"/>
      <c r="H31" s="7">
        <v>2870</v>
      </c>
      <c r="I31" s="7">
        <v>2200</v>
      </c>
      <c r="J31" s="7">
        <f t="shared" si="0"/>
        <v>5300</v>
      </c>
      <c r="K31" s="7"/>
      <c r="L31" s="7">
        <f t="shared" si="2"/>
        <v>1700</v>
      </c>
    </row>
    <row r="32" spans="1:12" ht="15">
      <c r="A32" s="242" t="s">
        <v>32</v>
      </c>
      <c r="B32" s="63">
        <v>8</v>
      </c>
      <c r="C32" s="5" t="s">
        <v>33</v>
      </c>
      <c r="D32" s="7">
        <v>7000</v>
      </c>
      <c r="E32" s="7"/>
      <c r="F32" s="7">
        <v>890</v>
      </c>
      <c r="G32" s="7"/>
      <c r="H32" s="7">
        <f>3100-F32</f>
        <v>2210</v>
      </c>
      <c r="I32" s="7">
        <v>2200</v>
      </c>
      <c r="J32" s="7">
        <f t="shared" si="0"/>
        <v>5300</v>
      </c>
      <c r="K32" s="7"/>
      <c r="L32" s="7">
        <f t="shared" si="2"/>
        <v>1700</v>
      </c>
    </row>
    <row r="33" spans="1:12" ht="15">
      <c r="A33" s="244"/>
      <c r="B33" s="63">
        <v>9</v>
      </c>
      <c r="C33" s="5" t="s">
        <v>60</v>
      </c>
      <c r="D33" s="7">
        <v>7000</v>
      </c>
      <c r="E33" s="7"/>
      <c r="F33" s="7">
        <v>230</v>
      </c>
      <c r="G33" s="7"/>
      <c r="H33" s="7">
        <v>6770</v>
      </c>
      <c r="I33" s="7"/>
      <c r="J33" s="7">
        <f t="shared" si="0"/>
        <v>7000</v>
      </c>
      <c r="K33" s="7"/>
      <c r="L33" s="7">
        <f t="shared" si="2"/>
        <v>0</v>
      </c>
    </row>
    <row r="34" spans="1:12" ht="15">
      <c r="A34" s="59" t="s">
        <v>34</v>
      </c>
      <c r="B34" s="63">
        <v>10</v>
      </c>
      <c r="C34" s="5" t="s">
        <v>35</v>
      </c>
      <c r="D34" s="7">
        <v>9000</v>
      </c>
      <c r="E34" s="7"/>
      <c r="F34" s="7">
        <v>230</v>
      </c>
      <c r="G34" s="7"/>
      <c r="H34" s="7">
        <v>2870</v>
      </c>
      <c r="I34" s="7">
        <v>3750</v>
      </c>
      <c r="J34" s="7">
        <f t="shared" si="0"/>
        <v>6850</v>
      </c>
      <c r="K34" s="7"/>
      <c r="L34" s="7">
        <f t="shared" si="2"/>
        <v>2150</v>
      </c>
    </row>
    <row r="35" spans="2:12" s="26" customFormat="1" ht="15">
      <c r="B35" s="55"/>
      <c r="C35" s="42" t="s">
        <v>43</v>
      </c>
      <c r="D35" s="66">
        <f>SUM(D9:D34)</f>
        <v>168000</v>
      </c>
      <c r="E35" s="66">
        <f aca="true" t="shared" si="3" ref="E35:L35">SUM(E9:E34)</f>
        <v>4000</v>
      </c>
      <c r="F35" s="66">
        <f t="shared" si="3"/>
        <v>43300</v>
      </c>
      <c r="G35" s="66">
        <f t="shared" si="3"/>
        <v>12000</v>
      </c>
      <c r="H35" s="66">
        <f t="shared" si="3"/>
        <v>41550</v>
      </c>
      <c r="I35" s="66">
        <f t="shared" si="3"/>
        <v>54800</v>
      </c>
      <c r="J35" s="66">
        <f t="shared" si="3"/>
        <v>155650</v>
      </c>
      <c r="K35" s="66">
        <f t="shared" si="3"/>
        <v>0</v>
      </c>
      <c r="L35" s="19">
        <f t="shared" si="3"/>
        <v>12350</v>
      </c>
    </row>
    <row r="40" spans="4:7" ht="45">
      <c r="D40" s="159"/>
      <c r="E40" s="159" t="s">
        <v>203</v>
      </c>
      <c r="F40" s="159" t="s">
        <v>204</v>
      </c>
      <c r="G40" s="159"/>
    </row>
    <row r="41" spans="2:7" s="81" customFormat="1" ht="105">
      <c r="B41" s="192"/>
      <c r="D41" s="159">
        <v>2018</v>
      </c>
      <c r="E41" s="193">
        <v>30000</v>
      </c>
      <c r="F41" s="193">
        <f>36000+12350+13000</f>
        <v>61350</v>
      </c>
      <c r="G41" s="194" t="s">
        <v>235</v>
      </c>
    </row>
    <row r="42" spans="4:7" ht="15">
      <c r="D42" s="159">
        <v>2019</v>
      </c>
      <c r="E42" s="7">
        <v>30000</v>
      </c>
      <c r="F42" s="7">
        <v>17500</v>
      </c>
      <c r="G42" s="159"/>
    </row>
    <row r="43" spans="4:7" ht="15">
      <c r="D43" s="159">
        <v>2020</v>
      </c>
      <c r="E43" s="7">
        <v>30000</v>
      </c>
      <c r="F43" s="7">
        <v>11000</v>
      </c>
      <c r="G43" s="159"/>
    </row>
    <row r="44" spans="4:7" ht="15">
      <c r="D44" s="159" t="s">
        <v>37</v>
      </c>
      <c r="E44" s="7">
        <f>SUM(E41:E43)</f>
        <v>90000</v>
      </c>
      <c r="F44" s="7">
        <f>SUM(F41:F43)</f>
        <v>89850</v>
      </c>
      <c r="G44" s="159"/>
    </row>
    <row r="47" ht="15">
      <c r="I47">
        <v>72005</v>
      </c>
    </row>
    <row r="48" ht="15">
      <c r="I48">
        <v>130920</v>
      </c>
    </row>
    <row r="49" ht="15">
      <c r="I49">
        <v>269000</v>
      </c>
    </row>
    <row r="50" ht="15">
      <c r="I50">
        <v>114335</v>
      </c>
    </row>
    <row r="51" ht="15">
      <c r="I51">
        <v>255000</v>
      </c>
    </row>
    <row r="52" ht="15">
      <c r="I52">
        <f>SUM(I47:I51)</f>
        <v>841260</v>
      </c>
    </row>
    <row r="56" spans="2:12" ht="15">
      <c r="B56" s="245" t="s">
        <v>107</v>
      </c>
      <c r="C56" s="245"/>
      <c r="D56" s="245"/>
      <c r="E56" s="245"/>
      <c r="F56" s="245"/>
      <c r="G56" s="245"/>
      <c r="H56" s="245"/>
      <c r="I56" s="245"/>
      <c r="J56" s="245"/>
      <c r="K56" s="245"/>
      <c r="L56" s="245"/>
    </row>
    <row r="57" spans="2:12" ht="15">
      <c r="B57" s="245"/>
      <c r="C57" s="245"/>
      <c r="D57" s="245"/>
      <c r="E57" s="245"/>
      <c r="F57" s="245"/>
      <c r="G57" s="245"/>
      <c r="H57" s="245"/>
      <c r="I57" s="245"/>
      <c r="J57" s="245"/>
      <c r="K57" s="245"/>
      <c r="L57" s="245"/>
    </row>
    <row r="58" spans="2:12" ht="15">
      <c r="B58" s="245"/>
      <c r="C58" s="245"/>
      <c r="D58" s="245"/>
      <c r="E58" s="245"/>
      <c r="F58" s="245"/>
      <c r="G58" s="245"/>
      <c r="H58" s="245"/>
      <c r="I58" s="245"/>
      <c r="J58" s="245"/>
      <c r="K58" s="245"/>
      <c r="L58" s="245"/>
    </row>
    <row r="59" spans="2:12" ht="15">
      <c r="B59" s="245"/>
      <c r="C59" s="245"/>
      <c r="D59" s="245"/>
      <c r="E59" s="245"/>
      <c r="F59" s="245"/>
      <c r="G59" s="245"/>
      <c r="H59" s="245"/>
      <c r="I59" s="245"/>
      <c r="J59" s="245"/>
      <c r="K59" s="245"/>
      <c r="L59" s="245"/>
    </row>
    <row r="60" spans="2:12" ht="15">
      <c r="B60" s="245"/>
      <c r="C60" s="245"/>
      <c r="D60" s="245"/>
      <c r="E60" s="245"/>
      <c r="F60" s="245"/>
      <c r="G60" s="245"/>
      <c r="H60" s="245"/>
      <c r="I60" s="245"/>
      <c r="J60" s="245"/>
      <c r="K60" s="245"/>
      <c r="L60" s="245"/>
    </row>
    <row r="61" spans="2:12" ht="15">
      <c r="B61" s="245"/>
      <c r="C61" s="245"/>
      <c r="D61" s="245"/>
      <c r="E61" s="245"/>
      <c r="F61" s="245"/>
      <c r="G61" s="245"/>
      <c r="H61" s="245"/>
      <c r="I61" s="245"/>
      <c r="J61" s="245"/>
      <c r="K61" s="245"/>
      <c r="L61" s="245"/>
    </row>
    <row r="62" spans="2:12" ht="15">
      <c r="B62" s="245"/>
      <c r="C62" s="245"/>
      <c r="D62" s="245"/>
      <c r="E62" s="245"/>
      <c r="F62" s="245"/>
      <c r="G62" s="245"/>
      <c r="H62" s="245"/>
      <c r="I62" s="245"/>
      <c r="J62" s="245"/>
      <c r="K62" s="245"/>
      <c r="L62" s="245"/>
    </row>
  </sheetData>
  <sheetProtection/>
  <mergeCells count="16">
    <mergeCell ref="B56:L62"/>
    <mergeCell ref="B1:L2"/>
    <mergeCell ref="J3:L3"/>
    <mergeCell ref="B4:B6"/>
    <mergeCell ref="C4:C6"/>
    <mergeCell ref="D4:D6"/>
    <mergeCell ref="E4:J4"/>
    <mergeCell ref="K4:L4"/>
    <mergeCell ref="F5:G5"/>
    <mergeCell ref="H5:I5"/>
    <mergeCell ref="J5:J6"/>
    <mergeCell ref="K5:K6"/>
    <mergeCell ref="L5:L6"/>
    <mergeCell ref="A25:A27"/>
    <mergeCell ref="A28:A29"/>
    <mergeCell ref="A32:A33"/>
  </mergeCells>
  <printOptions/>
  <pageMargins left="0.75" right="0.75" top="1" bottom="1" header="0.3" footer="0.3"/>
  <pageSetup fitToHeight="0" fitToWidth="1" horizontalDpi="600" verticalDpi="600" orientation="portrait" scale="78"/>
</worksheet>
</file>

<file path=xl/worksheets/sheet5.xml><?xml version="1.0" encoding="utf-8"?>
<worksheet xmlns="http://schemas.openxmlformats.org/spreadsheetml/2006/main" xmlns:r="http://schemas.openxmlformats.org/officeDocument/2006/relationships">
  <dimension ref="C1:G11"/>
  <sheetViews>
    <sheetView zoomScalePageLayoutView="0" workbookViewId="0" topLeftCell="D1">
      <selection activeCell="F26" sqref="F26"/>
    </sheetView>
  </sheetViews>
  <sheetFormatPr defaultColWidth="8.8515625" defaultRowHeight="15"/>
  <cols>
    <col min="1" max="2" width="8.8515625" style="0" customWidth="1"/>
    <col min="3" max="6" width="46.421875" style="16" customWidth="1"/>
  </cols>
  <sheetData>
    <row r="1" spans="3:6" s="85" customFormat="1" ht="37.5" customHeight="1">
      <c r="C1" s="249" t="s">
        <v>156</v>
      </c>
      <c r="D1" s="249"/>
      <c r="E1" s="249"/>
      <c r="F1" s="90"/>
    </row>
    <row r="2" spans="3:6" s="85" customFormat="1" ht="18.75">
      <c r="C2" s="89"/>
      <c r="D2" s="89"/>
      <c r="E2" s="89"/>
      <c r="F2" s="89"/>
    </row>
    <row r="3" spans="3:7" s="88" customFormat="1" ht="93.75">
      <c r="C3" s="87" t="s">
        <v>155</v>
      </c>
      <c r="D3" s="87" t="s">
        <v>158</v>
      </c>
      <c r="E3" s="87" t="s">
        <v>157</v>
      </c>
      <c r="F3" s="87" t="s">
        <v>172</v>
      </c>
      <c r="G3" s="86" t="s">
        <v>40</v>
      </c>
    </row>
    <row r="4" spans="3:7" s="93" customFormat="1" ht="37.5">
      <c r="C4" s="84" t="s">
        <v>159</v>
      </c>
      <c r="D4" s="91" t="s">
        <v>168</v>
      </c>
      <c r="E4" s="91" t="s">
        <v>171</v>
      </c>
      <c r="F4" s="91" t="s">
        <v>171</v>
      </c>
      <c r="G4" s="92"/>
    </row>
    <row r="5" spans="3:7" s="93" customFormat="1" ht="18.75">
      <c r="C5" s="84" t="s">
        <v>160</v>
      </c>
      <c r="D5" s="91" t="s">
        <v>171</v>
      </c>
      <c r="E5" s="91" t="s">
        <v>171</v>
      </c>
      <c r="F5" s="91" t="s">
        <v>171</v>
      </c>
      <c r="G5" s="92"/>
    </row>
    <row r="6" spans="3:7" s="93" customFormat="1" ht="18.75">
      <c r="C6" s="84" t="s">
        <v>161</v>
      </c>
      <c r="D6" s="91" t="s">
        <v>171</v>
      </c>
      <c r="E6" s="91" t="s">
        <v>171</v>
      </c>
      <c r="F6" s="91" t="s">
        <v>171</v>
      </c>
      <c r="G6" s="92"/>
    </row>
    <row r="7" spans="3:7" s="93" customFormat="1" ht="18.75">
      <c r="C7" s="84" t="s">
        <v>162</v>
      </c>
      <c r="D7" s="91" t="s">
        <v>170</v>
      </c>
      <c r="E7" s="91" t="s">
        <v>171</v>
      </c>
      <c r="F7" s="91" t="s">
        <v>171</v>
      </c>
      <c r="G7" s="92"/>
    </row>
    <row r="8" spans="3:7" s="93" customFormat="1" ht="37.5">
      <c r="C8" s="84" t="s">
        <v>163</v>
      </c>
      <c r="D8" s="91" t="s">
        <v>167</v>
      </c>
      <c r="E8" s="91" t="s">
        <v>171</v>
      </c>
      <c r="F8" s="91" t="s">
        <v>171</v>
      </c>
      <c r="G8" s="92"/>
    </row>
    <row r="9" spans="3:7" s="93" customFormat="1" ht="18.75">
      <c r="C9" s="84" t="s">
        <v>164</v>
      </c>
      <c r="D9" s="91" t="s">
        <v>171</v>
      </c>
      <c r="E9" s="91" t="s">
        <v>171</v>
      </c>
      <c r="F9" s="91" t="s">
        <v>171</v>
      </c>
      <c r="G9" s="92"/>
    </row>
    <row r="10" spans="3:7" s="93" customFormat="1" ht="75">
      <c r="C10" s="84" t="s">
        <v>165</v>
      </c>
      <c r="D10" s="91" t="s">
        <v>169</v>
      </c>
      <c r="E10" s="91" t="s">
        <v>171</v>
      </c>
      <c r="F10" s="91" t="s">
        <v>171</v>
      </c>
      <c r="G10" s="92"/>
    </row>
    <row r="11" spans="3:7" s="93" customFormat="1" ht="18.75">
      <c r="C11" s="84" t="s">
        <v>166</v>
      </c>
      <c r="D11" s="91" t="s">
        <v>171</v>
      </c>
      <c r="E11" s="91" t="s">
        <v>171</v>
      </c>
      <c r="F11" s="91" t="s">
        <v>171</v>
      </c>
      <c r="G11" s="92"/>
    </row>
  </sheetData>
  <sheetProtection/>
  <mergeCells count="1">
    <mergeCell ref="C1:E1"/>
  </mergeCells>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2018-06-27T16:37:11Z</dcterms:modified>
  <cp:category/>
  <cp:version/>
  <cp:contentType/>
  <cp:contentStatus/>
</cp:coreProperties>
</file>